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0_09_09" sheetId="1" r:id="rId4"/>
    <sheet state="visible" name="2016-17-18" sheetId="2" r:id="rId5"/>
    <sheet state="visible" name="2017-2018-2019" sheetId="3" r:id="rId6"/>
    <sheet state="visible" name="2018-2019-2020" sheetId="4" r:id="rId7"/>
    <sheet state="visible" name="2019-2020-2021" sheetId="5" r:id="rId8"/>
    <sheet state="visible" name="2020-2021-2022" sheetId="6" r:id="rId9"/>
    <sheet state="visible" name="2021-2022-2023" sheetId="7" r:id="rId10"/>
  </sheets>
  <definedNames>
    <definedName hidden="1" localSheetId="0" name="_xlnm._FilterDatabase">'30_09_09'!$A$5:$J$43</definedName>
    <definedName hidden="1" localSheetId="1" name="_xlnm._FilterDatabase">'2016-17-18'!$A$5:$K$46</definedName>
  </definedNames>
  <calcPr/>
</workbook>
</file>

<file path=xl/sharedStrings.xml><?xml version="1.0" encoding="utf-8"?>
<sst xmlns="http://schemas.openxmlformats.org/spreadsheetml/2006/main" count="1744" uniqueCount="240">
  <si>
    <r>
      <rPr>
        <rFont val="Times New Roman"/>
        <b/>
        <i/>
        <color theme="1"/>
        <sz val="22.0"/>
      </rPr>
      <t xml:space="preserve">FATTORI DI CALCOLO </t>
    </r>
    <r>
      <rPr>
        <rFont val="Times New Roman"/>
        <b/>
        <i/>
        <color theme="1"/>
        <sz val="18.0"/>
      </rPr>
      <t>(dal 01/Ottobre al 30/Settembre di ogni anno)</t>
    </r>
  </si>
  <si>
    <t>//Mod.22/OGPCG01/04 Rev.01              *Aggiornamento dati al 30/09/10</t>
  </si>
  <si>
    <t>PROCESSO</t>
  </si>
  <si>
    <t>Cod</t>
  </si>
  <si>
    <t>NOME INDICATORE</t>
  </si>
  <si>
    <t>Modalità di calcolo</t>
  </si>
  <si>
    <t>Periodo</t>
  </si>
  <si>
    <t>Delta 2009/10</t>
  </si>
  <si>
    <t>Obiettivo 2011</t>
  </si>
  <si>
    <r>
      <rPr>
        <rFont val="Times New Roman"/>
        <b/>
        <color theme="1"/>
        <sz val="18.0"/>
      </rPr>
      <t xml:space="preserve">Radiologia Tradizionale     </t>
    </r>
    <r>
      <rPr>
        <rFont val="Times New Roman"/>
        <b/>
        <color theme="1"/>
        <sz val="12.0"/>
      </rPr>
      <t>(5dx12h/d x week)</t>
    </r>
  </si>
  <si>
    <t>Ray1</t>
  </si>
  <si>
    <t>Numero esami / Anno precedente</t>
  </si>
  <si>
    <t>Consuntivo esami da Medisil (Statistiche con suddivisione per ambulatorio)</t>
  </si>
  <si>
    <t>Anno</t>
  </si>
  <si>
    <t>&lt; o =  5% sul 2009</t>
  </si>
  <si>
    <t>Ray2</t>
  </si>
  <si>
    <t>N° pazienti potenziali / N° pazienti effettivi</t>
  </si>
  <si>
    <t>10 min x paziente = 72 pz/gg (monte teorico 12h) x 3612 h/anno</t>
  </si>
  <si>
    <t>&lt; o = dato attuale</t>
  </si>
  <si>
    <t>Ray3</t>
  </si>
  <si>
    <t>N° ore lavorate reali / N° ore disponibilità macchina</t>
  </si>
  <si>
    <t>ore reali lavorate / 3612 h/anno teorici</t>
  </si>
  <si>
    <t>Ray6</t>
  </si>
  <si>
    <t>Giorni intercorsi tra la data della prestazione e la data di emissione del referto</t>
  </si>
  <si>
    <t>Giorno di accettazione paziente / Giorno Refertazione</t>
  </si>
  <si>
    <r>
      <rPr>
        <rFont val="Noto Sans Symbols"/>
        <color theme="1"/>
        <sz val="14.0"/>
      </rPr>
      <t>£</t>
    </r>
    <r>
      <rPr>
        <rFont val="Arial"/>
        <color theme="1"/>
        <sz val="14.0"/>
      </rPr>
      <t xml:space="preserve"> 4 gg</t>
    </r>
  </si>
  <si>
    <r>
      <rPr>
        <rFont val="Times New Roman"/>
        <b/>
        <color theme="1"/>
        <sz val="20.0"/>
      </rPr>
      <t xml:space="preserve">Risonanza Magnetica Nucleare           </t>
    </r>
    <r>
      <rPr>
        <rFont val="Times New Roman"/>
        <b/>
        <color theme="1"/>
        <sz val="12.0"/>
      </rPr>
      <t>(2x(6dx12h/d x week)</t>
    </r>
  </si>
  <si>
    <t>Rmn1</t>
  </si>
  <si>
    <t>Tornare almeno sui livelli del 2008</t>
  </si>
  <si>
    <t>Rmn2</t>
  </si>
  <si>
    <t>N° esami eseguibili / N° esami eseguiti</t>
  </si>
  <si>
    <t>22,5 min x 2paziente = 64 esa/gg (monte teorico 12h) x 3612 h/anno</t>
  </si>
  <si>
    <t>Rmn3</t>
  </si>
  <si>
    <t>N° ore lavorate / N° ore disponibilità macchina</t>
  </si>
  <si>
    <t>6936 h lavorate / 288x2macchine gg/anno teorici (7224)</t>
  </si>
  <si>
    <t>Rmn6</t>
  </si>
  <si>
    <r>
      <rPr>
        <rFont val="Noto Sans Symbols"/>
        <color theme="1"/>
        <sz val="14.0"/>
      </rPr>
      <t>£</t>
    </r>
    <r>
      <rPr>
        <rFont val="Arial"/>
        <color theme="1"/>
        <sz val="14.0"/>
      </rPr>
      <t xml:space="preserve"> 4 gg</t>
    </r>
  </si>
  <si>
    <r>
      <rPr>
        <rFont val="Times New Roman"/>
        <b/>
        <color theme="1"/>
        <sz val="20.0"/>
      </rPr>
      <t xml:space="preserve">TAC         </t>
    </r>
    <r>
      <rPr>
        <rFont val="Times New Roman"/>
        <b/>
        <color theme="1"/>
        <sz val="12.0"/>
      </rPr>
      <t>(4dx12h/d x week)</t>
    </r>
  </si>
  <si>
    <t>Tac1</t>
  </si>
  <si>
    <t>+ 5% sul 2009</t>
  </si>
  <si>
    <t>Tac2</t>
  </si>
  <si>
    <t>15 min x paziente = 48 esa/gg (monte teorico 12h) x 3612 h/anno</t>
  </si>
  <si>
    <t>&gt; dato attuale</t>
  </si>
  <si>
    <t>Tac3</t>
  </si>
  <si>
    <t>1976h reali lavorati / 301x12 (3612h) h/anno teorici</t>
  </si>
  <si>
    <t>Tac6</t>
  </si>
  <si>
    <r>
      <rPr>
        <rFont val="Noto Sans Symbols"/>
        <color theme="1"/>
        <sz val="14.0"/>
      </rPr>
      <t>£</t>
    </r>
    <r>
      <rPr>
        <rFont val="Arial"/>
        <color theme="1"/>
        <sz val="14.0"/>
      </rPr>
      <t xml:space="preserve"> 4 gg</t>
    </r>
  </si>
  <si>
    <r>
      <rPr>
        <rFont val="Times New Roman"/>
        <b/>
        <color theme="1"/>
        <sz val="20.0"/>
      </rPr>
      <t xml:space="preserve">MOC </t>
    </r>
    <r>
      <rPr>
        <rFont val="Times New Roman"/>
        <b/>
        <color theme="1"/>
        <sz val="14.0"/>
      </rPr>
      <t>(18h/week)</t>
    </r>
  </si>
  <si>
    <t>Moc1</t>
  </si>
  <si>
    <t>Mantenimento</t>
  </si>
  <si>
    <t>Moc2</t>
  </si>
  <si>
    <t>Moc3</t>
  </si>
  <si>
    <t>500H reali lavorati / 3612 h teorici</t>
  </si>
  <si>
    <t>Moc6</t>
  </si>
  <si>
    <r>
      <rPr>
        <rFont val="Noto Sans Symbols"/>
        <color theme="1"/>
        <sz val="14.0"/>
      </rPr>
      <t>£</t>
    </r>
    <r>
      <rPr>
        <rFont val="Arial"/>
        <color theme="1"/>
        <sz val="14.0"/>
      </rPr>
      <t xml:space="preserve"> 4 gg</t>
    </r>
  </si>
  <si>
    <t>Mammografia Digitalizzata (12h/w)</t>
  </si>
  <si>
    <t>Mam1</t>
  </si>
  <si>
    <t>Mam2</t>
  </si>
  <si>
    <t>10 min x paziente = 72 pz/gg (monte teorico 12h) x 50gg/anno</t>
  </si>
  <si>
    <t>Mam3</t>
  </si>
  <si>
    <t>423,5 reali lavorati / (50 disp medico x 12h/week = 600h/teoriche)</t>
  </si>
  <si>
    <r>
      <rPr>
        <rFont val="Times New Roman"/>
        <b/>
        <color theme="1"/>
        <sz val="20.0"/>
      </rPr>
      <t xml:space="preserve">Ecografia        </t>
    </r>
    <r>
      <rPr>
        <rFont val="Times New Roman"/>
        <b/>
        <color theme="1"/>
        <sz val="12.0"/>
      </rPr>
      <t>(5dx12h/d x week)</t>
    </r>
  </si>
  <si>
    <t>Eco1</t>
  </si>
  <si>
    <t>Eco2</t>
  </si>
  <si>
    <t>15 min x paziente = 48 esa/gg (monte teorico 12h) x 301gg/anno</t>
  </si>
  <si>
    <t>Eco3</t>
  </si>
  <si>
    <t>h reali lavorati / 3612  h/anno teoriche</t>
  </si>
  <si>
    <r>
      <rPr>
        <rFont val="Times New Roman"/>
        <b/>
        <color theme="1"/>
        <sz val="20.0"/>
      </rPr>
      <t xml:space="preserve">Eco Color Doppler    </t>
    </r>
    <r>
      <rPr>
        <rFont val="Times New Roman"/>
        <b/>
        <color theme="1"/>
        <sz val="12.0"/>
      </rPr>
      <t>(2dx12h/d x week)</t>
    </r>
  </si>
  <si>
    <t>Ecd1</t>
  </si>
  <si>
    <t>Ecd2</t>
  </si>
  <si>
    <t>10 min x paziente = 72 pz/gg (monte teorico 12h) x 100gg/anno = 14400 pzi teorici anno</t>
  </si>
  <si>
    <t>Ecd3</t>
  </si>
  <si>
    <t>odontoiatria</t>
  </si>
  <si>
    <t>odo1</t>
  </si>
  <si>
    <t>Consuntivo esami da pyton</t>
  </si>
  <si>
    <t>odo2</t>
  </si>
  <si>
    <t>Numero tratamenti accettati</t>
  </si>
  <si>
    <t>Consuntivo trattamenti da pyton</t>
  </si>
  <si>
    <t>Manutenzione degli impianti e risorse</t>
  </si>
  <si>
    <t>Man1</t>
  </si>
  <si>
    <t>Spesa Manutenzione Ordinaria Macchinari</t>
  </si>
  <si>
    <t>Somma Fatture di Manutenzione a programma</t>
  </si>
  <si>
    <t>Da decidere in funzione dell'ampliamento o meno della struttura</t>
  </si>
  <si>
    <t>Man2</t>
  </si>
  <si>
    <t>Spese Manutenzione Straordinaria Macchinari</t>
  </si>
  <si>
    <t>Somma Fatture di Manutenzione non a programma</t>
  </si>
  <si>
    <t>Man3</t>
  </si>
  <si>
    <t>Spese di Manutenzione Struttura</t>
  </si>
  <si>
    <t>Somma fattura per interventi tecnici sulla struttura</t>
  </si>
  <si>
    <t>Soddisfazione Cliente</t>
  </si>
  <si>
    <t>Cs1</t>
  </si>
  <si>
    <t>Media Soddisfazione da questionario ASL</t>
  </si>
  <si>
    <t>Media dei valori ottenuti dalle indagini mediati semestralmente</t>
  </si>
  <si>
    <t>Da eseguire a Gennaio 2011</t>
  </si>
  <si>
    <t>Vedere grafici specifici</t>
  </si>
  <si>
    <t>da 4,8 a 5</t>
  </si>
  <si>
    <t>Cs2</t>
  </si>
  <si>
    <t>% raccolta dei questionari di soddisfazione del paziente</t>
  </si>
  <si>
    <t>Database ASL</t>
  </si>
  <si>
    <r>
      <rPr>
        <rFont val="Noto Sans Symbols"/>
        <color theme="1"/>
        <sz val="12.0"/>
      </rPr>
      <t>³</t>
    </r>
    <r>
      <rPr>
        <rFont val="Arial"/>
        <color theme="1"/>
        <sz val="12.0"/>
      </rPr>
      <t xml:space="preserve"> 2 %</t>
    </r>
  </si>
  <si>
    <t>Cs3</t>
  </si>
  <si>
    <t xml:space="preserve">Stratificazione dei dati per singolo aspetto / tipo cliente </t>
  </si>
  <si>
    <t>Grafici allegati al database di elaborazione dei questionari</t>
  </si>
  <si>
    <t>Vedi grafici</t>
  </si>
  <si>
    <t>Vedi Riesame Direzione</t>
  </si>
  <si>
    <t>Gestione Risorse Umane</t>
  </si>
  <si>
    <t>Ru1</t>
  </si>
  <si>
    <t>Incidenza personale fisso su totale costi</t>
  </si>
  <si>
    <t>Costi totali da bilancio / Costo totale da bilancio</t>
  </si>
  <si>
    <t>al 30/09/09</t>
  </si>
  <si>
    <t>Ru2</t>
  </si>
  <si>
    <t>Incidenza personale variabile su totale costi</t>
  </si>
  <si>
    <t>Specialisti + Gb / Costi totali da bilancio</t>
  </si>
  <si>
    <t>Ru3</t>
  </si>
  <si>
    <t>Presenza</t>
  </si>
  <si>
    <t>Monte ore teorico (dedotto di ferie e maternità) 28730 / Totale ore lavorato (24337)</t>
  </si>
  <si>
    <t>Ru4</t>
  </si>
  <si>
    <t>N° ore formazione</t>
  </si>
  <si>
    <t>Conteggio da piano di formazione</t>
  </si>
  <si>
    <t>//</t>
  </si>
  <si>
    <t>FATTORI DI CALCOLO (aggiornati al 04/12/2018 con previsione annuale)</t>
  </si>
  <si>
    <t>Mod.22/OGPCG01/04
Rev.02</t>
  </si>
  <si>
    <t>Delta 2017/18</t>
  </si>
  <si>
    <t>delta %</t>
  </si>
  <si>
    <t>Obiettivo 2019</t>
  </si>
  <si>
    <t>Radiologia Tradizionale</t>
  </si>
  <si>
    <t>Consuntivo esami da BCS (Statistiche per amministrazione)</t>
  </si>
  <si>
    <t>N° pazienti extra regione</t>
  </si>
  <si>
    <t>Accessi di paziente residente al di fuori della Regione Lombardia</t>
  </si>
  <si>
    <t>N° Pazienti Intra regione</t>
  </si>
  <si>
    <t>Accessi di paziente residente all'interno della Regione Lombardia</t>
  </si>
  <si>
    <t>minore o uguale a 3g</t>
  </si>
  <si>
    <t>Risonanza Magnetica Nucleare</t>
  </si>
  <si>
    <t>aumentare extraregionale del 5%</t>
  </si>
  <si>
    <t>&lt;=3</t>
  </si>
  <si>
    <t>TAC</t>
  </si>
  <si>
    <t>&lt;= 4 gg</t>
  </si>
  <si>
    <t>MOC</t>
  </si>
  <si>
    <t>Mammografia Digitalizzata</t>
  </si>
  <si>
    <t>Ecografia</t>
  </si>
  <si>
    <t>tornare ai livelli 2017</t>
  </si>
  <si>
    <t>Eco Color Doppler</t>
  </si>
  <si>
    <t>&gt;= 4500</t>
  </si>
  <si>
    <t>Odontoiatria</t>
  </si>
  <si>
    <t>Flessione dovuta al contenimento esami asl</t>
  </si>
  <si>
    <t>Numero trattamenti accettati</t>
  </si>
  <si>
    <t>aumentare il prv</t>
  </si>
  <si>
    <t>odo3</t>
  </si>
  <si>
    <t>Fatturato in Convenzione / Fatturato Totale</t>
  </si>
  <si>
    <t>Fatturato ASL  (%) / Fatturato Totale</t>
  </si>
  <si>
    <t>17.52%</t>
  </si>
  <si>
    <t>2.15%</t>
  </si>
  <si>
    <t>Fisiatria</t>
  </si>
  <si>
    <t>aumentarer il prv</t>
  </si>
  <si>
    <t>ritornare ai livelli precedenti</t>
  </si>
  <si>
    <t>vedere  allegato 03</t>
  </si>
  <si>
    <r>
      <rPr>
        <rFont val="Noto Sans Symbols"/>
        <color theme="1"/>
        <sz val="12.0"/>
      </rPr>
      <t>³</t>
    </r>
    <r>
      <rPr>
        <rFont val="Arial"/>
        <color theme="1"/>
        <sz val="12.0"/>
      </rPr>
      <t xml:space="preserve"> 2 %</t>
    </r>
  </si>
  <si>
    <t>Costi totali dipendenti / Costo totale da bilancio</t>
  </si>
  <si>
    <t>tornare livelli 2017</t>
  </si>
  <si>
    <t>in simmetria con aumento produttività</t>
  </si>
  <si>
    <t>Monte ore effettivo 59448(dedotto di ferie e maternità chiedere Romina)  / Totale ore teoriche (170*n°dipendenti*mesi=79560)+(part time 127,5*n°dipendenti*12=4590) totale 84150</t>
  </si>
  <si>
    <t>FATTORI DI CALCOLO (aggiornati al 22/10/2019 con previsione annuale)</t>
  </si>
  <si>
    <t>Mod.22/OGPCG01/04
Rev.03</t>
  </si>
  <si>
    <t>Delta 2018/19</t>
  </si>
  <si>
    <t>Ray 4</t>
  </si>
  <si>
    <t>n° Pazienti PRV</t>
  </si>
  <si>
    <t>Accessi di paziente in solvenza</t>
  </si>
  <si>
    <t>Ray5</t>
  </si>
  <si>
    <t>Rmn4</t>
  </si>
  <si>
    <t>Mantenimento aumentare extraregionale</t>
  </si>
  <si>
    <t>Tac4</t>
  </si>
  <si>
    <t>Moc4</t>
  </si>
  <si>
    <t>Moc5</t>
  </si>
  <si>
    <t>Mam4</t>
  </si>
  <si>
    <t>Eco4</t>
  </si>
  <si>
    <t>Ecd4</t>
  </si>
  <si>
    <t>numero esami prv</t>
  </si>
  <si>
    <t>numero esami asl</t>
  </si>
  <si>
    <t>odo4</t>
  </si>
  <si>
    <t>odo5</t>
  </si>
  <si>
    <t>fis1</t>
  </si>
  <si>
    <t>fis2</t>
  </si>
  <si>
    <t>fis3</t>
  </si>
  <si>
    <t>fis4</t>
  </si>
  <si>
    <t>fis5</t>
  </si>
  <si>
    <r>
      <rPr>
        <rFont val="Noto Sans Symbols"/>
        <color theme="1"/>
        <sz val="12.0"/>
      </rPr>
      <t>³</t>
    </r>
    <r>
      <rPr>
        <rFont val="Arial"/>
        <color theme="1"/>
        <sz val="12.0"/>
      </rPr>
      <t xml:space="preserve"> 2 %</t>
    </r>
  </si>
  <si>
    <t>mantenimento</t>
  </si>
  <si>
    <t>in simmetria con aumento produttività e taglio costi medici</t>
  </si>
  <si>
    <t>Monte ore effettivo 61244,50(dedotto di ferie e maternità chiedere Romina)  / Totale ore teoriche (170*n°dipendenti*mesi=79560)+(part time 127,5*n°dipendenti*12=4590) totale 79560</t>
  </si>
  <si>
    <t>FATTORI DI CALCOLO (aggiornati al 26/11/2020 con previsione annuale)</t>
  </si>
  <si>
    <t>Delta 2019/20</t>
  </si>
  <si>
    <t>Obiettivo 2021</t>
  </si>
  <si>
    <t>tornare livelli pre covid</t>
  </si>
  <si>
    <t>Flessione dovuta covid 19</t>
  </si>
  <si>
    <t>tornare livelli pre covid mantenere rapporto fatturato asl/totale</t>
  </si>
  <si>
    <t>Flessione dovuta a covid 19</t>
  </si>
  <si>
    <t>32.16%</t>
  </si>
  <si>
    <t>diminuire rapporto asl/totale</t>
  </si>
  <si>
    <r>
      <rPr>
        <rFont val="Noto Sans Symbols"/>
        <color theme="1"/>
        <sz val="12.0"/>
      </rPr>
      <t>³</t>
    </r>
    <r>
      <rPr>
        <rFont val="Arial"/>
        <color theme="1"/>
        <sz val="12.0"/>
      </rPr>
      <t xml:space="preserve"> 2 %</t>
    </r>
  </si>
  <si>
    <t>FATTORI DI CALCOLO (aggiornati al 20/12/2021 con previsione annuale)</t>
  </si>
  <si>
    <t>Delta 2020/21</t>
  </si>
  <si>
    <t>Obiettivo 2022</t>
  </si>
  <si>
    <t>capire le cause della flessione, tornare livelli 2019</t>
  </si>
  <si>
    <t>mantenimento convenzionato, provare ad aumentare ulteriormente il prv</t>
  </si>
  <si>
    <t>Mantenere i livelli raggiunti provare ad aumentare il PRV</t>
  </si>
  <si>
    <t>0.98%</t>
  </si>
  <si>
    <r>
      <rPr>
        <rFont val="Noto Sans Symbols"/>
        <color theme="1"/>
        <sz val="12.0"/>
      </rPr>
      <t>³</t>
    </r>
    <r>
      <rPr>
        <rFont val="Arial"/>
        <color theme="1"/>
        <sz val="12.0"/>
      </rPr>
      <t xml:space="preserve"> 2 %</t>
    </r>
  </si>
  <si>
    <t>Monte ore effettivo 69189(dedotto di ferie e maternità chiedere Romina)  / Totale ore teoriche (170*n°dipendenti*mesi=87720)+(part time 127,5*n°dipendenti*12=6120)(+RITA+GARBELLINI 1147,50+1275) totale 96262,5</t>
  </si>
  <si>
    <t>mantenimento, buon miglioramento</t>
  </si>
  <si>
    <t>FATTORI DI CALCOLO (aggiornati al 31/10/2022 con previsione annuale)</t>
  </si>
  <si>
    <t>Delta 2021/22</t>
  </si>
  <si>
    <t>Obiettivo 2023</t>
  </si>
  <si>
    <t>Mantenere extraregione proporre tempi di attesa e condizioni vantaggiose per risollevare PRV</t>
  </si>
  <si>
    <t>mantenimento convenzionato, provare ad aumentare ulteriormente il prv nonostante sia fisiologico da parte dei pazienti andare con SSN se i tempi attesa sono brevi</t>
  </si>
  <si>
    <t>Ritornare livelli 2021 aprendo più sedute</t>
  </si>
  <si>
    <t>prevedere ulteriori medici ecografisti per il 2023 per invertire il trend negativo</t>
  </si>
  <si>
    <t>CHIRURGIA VASCOLARE</t>
  </si>
  <si>
    <t>mancanza di personale ristabilito a novembre 2022 si prospetta un miglioramento per il 2023</t>
  </si>
  <si>
    <t>Tornare ai livelli 2021</t>
  </si>
  <si>
    <t>Ufficio tecnico ha allineato alcune situazioni contrattuali che erano in sospeso</t>
  </si>
  <si>
    <t>Spese di Manutenzione su beni di terzi</t>
  </si>
  <si>
    <t>Somma fattura per interventi tecnici sulla struttura e leasing (da 2022)</t>
  </si>
  <si>
    <t>aumento dovuto al cambio descrizione Man3 valutare 2023 su 2022</t>
  </si>
  <si>
    <r>
      <rPr>
        <rFont val="Noto Sans Symbols"/>
        <color theme="1"/>
        <sz val="12.0"/>
      </rPr>
      <t>³</t>
    </r>
    <r>
      <rPr>
        <rFont val="Arial"/>
        <color theme="1"/>
        <sz val="12.0"/>
      </rPr>
      <t xml:space="preserve"> 2 %</t>
    </r>
  </si>
  <si>
    <t>Monte ore effettivo 69189(dedotto di ferie e maternità malattia e permessi chiedere Romina)  / Totale ore teoriche (170*n°dipendenti*mesi=87720)+(part time 127,5*n°dipendenti*12=6120)(+RITA+GARBELLINI 1147,50+1275) totale 96262,5</t>
  </si>
  <si>
    <t>FATTORI DI CALCOLO (aggiornati al 29/11/2023 con previsione annuale)</t>
  </si>
  <si>
    <t>Mod.22/OGPCG01/04
Rev.04</t>
  </si>
  <si>
    <t>Delta 2022/23</t>
  </si>
  <si>
    <t>Obiettivo 2024</t>
  </si>
  <si>
    <t>N. NC/Reclami Cliente</t>
  </si>
  <si>
    <t>Numero NC/Reclami Cliente</t>
  </si>
  <si>
    <t>n.a.</t>
  </si>
  <si>
    <t>Tac 7</t>
  </si>
  <si>
    <t>Eco5</t>
  </si>
  <si>
    <t>Ecd05</t>
  </si>
  <si>
    <t>odo6</t>
  </si>
  <si>
    <t>fis6</t>
  </si>
  <si>
    <t>vedere allegato 03</t>
  </si>
  <si>
    <r>
      <rPr>
        <rFont val="Noto Sans Symbols"/>
        <color theme="1"/>
        <sz val="12.0"/>
      </rPr>
      <t>³</t>
    </r>
    <r>
      <rPr>
        <rFont val="Arial"/>
        <color theme="1"/>
        <sz val="12.0"/>
      </rPr>
      <t xml:space="preserve"> 2 %</t>
    </r>
  </si>
  <si>
    <t>Monte ore effettivo 60355(dedotto di ferie e maternità malattia e permessi chiedere Romina)  / Totale ore teoriche (170*n°dipendenti*mesi=87720)+(part time 127,5*n°dipendenti*12=6120)(+RITA+GARBELLINI 1147,50+1275) totale 74928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</si>
</sst>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0_ ;[Red]\-0.00\ "/>
    <numFmt numFmtId="165" formatCode="_-[$€]\ * #,##0.00_-;\-[$€]\ * #,##0.00_-;_-[$€]\ * &quot;-&quot;??_-;_-@"/>
    <numFmt numFmtId="166" formatCode="0_ ;[Red]\-0\ "/>
    <numFmt numFmtId="167" formatCode="#,##0\ [$€-1];[Red]\-#,##0\ [$€-1]"/>
    <numFmt numFmtId="168" formatCode="#,##0.00\ [$€-1007];[Red]\-#,##0.00\ [$€-1007]"/>
    <numFmt numFmtId="169" formatCode="[$€-2]\ #,##0.00"/>
  </numFmts>
  <fonts count="30">
    <font>
      <sz val="10.0"/>
      <color rgb="FF000000"/>
      <name val="Calibri"/>
      <scheme val="minor"/>
    </font>
    <font>
      <b/>
      <sz val="18.0"/>
      <color theme="1"/>
      <name val="Times New Roman"/>
    </font>
    <font/>
    <font>
      <b/>
      <i/>
      <sz val="22.0"/>
      <color theme="1"/>
      <name val="Times New Roman"/>
    </font>
    <font>
      <b/>
      <i/>
      <sz val="16.0"/>
      <color theme="1"/>
      <name val="Times New Roman"/>
    </font>
    <font>
      <sz val="10.0"/>
      <color theme="1"/>
      <name val="Times New Roman"/>
    </font>
    <font>
      <b/>
      <sz val="10.0"/>
      <color theme="1"/>
      <name val="Times New Roman"/>
    </font>
    <font>
      <b/>
      <sz val="8.0"/>
      <color theme="1"/>
      <name val="Times New Roman"/>
    </font>
    <font>
      <b/>
      <sz val="10.0"/>
      <color rgb="FFFFFFFF"/>
      <name val="Times New Roman"/>
    </font>
    <font>
      <sz val="10.0"/>
      <color rgb="FFFFFFFF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b/>
      <sz val="12.0"/>
      <color rgb="FFFFFFFF"/>
      <name val="Times New Roman"/>
    </font>
    <font>
      <b/>
      <i/>
      <sz val="12.0"/>
      <color theme="1"/>
      <name val="Times New Roman"/>
    </font>
    <font>
      <b/>
      <sz val="12.0"/>
      <color rgb="FFFF0000"/>
      <name val="Times New Roman"/>
    </font>
    <font>
      <sz val="12.0"/>
      <color rgb="FFFFFFFF"/>
      <name val="Times New Roman"/>
    </font>
    <font>
      <sz val="14.0"/>
      <color theme="1"/>
      <name val="Noto Sans"/>
    </font>
    <font>
      <b/>
      <sz val="20.0"/>
      <color theme="1"/>
      <name val="Times New Roman"/>
    </font>
    <font>
      <i/>
      <sz val="10.0"/>
      <color theme="1"/>
      <name val="Times New Roman"/>
    </font>
    <font>
      <sz val="10.0"/>
      <color theme="1"/>
      <name val="Arial"/>
    </font>
    <font>
      <b/>
      <sz val="16.0"/>
      <color theme="1"/>
      <name val="Times New Roman"/>
    </font>
    <font>
      <sz val="12.0"/>
      <color theme="1"/>
      <name val="Noto Sans"/>
    </font>
    <font>
      <b/>
      <sz val="24.0"/>
      <color theme="1"/>
      <name val="Times New Roman"/>
    </font>
    <font>
      <b/>
      <sz val="14.0"/>
      <color theme="1"/>
      <name val="Times New Roman"/>
    </font>
    <font>
      <b/>
      <sz val="14.0"/>
      <color rgb="FFFFFFFF"/>
      <name val="Times New Roman"/>
    </font>
    <font>
      <sz val="8.0"/>
      <color theme="1"/>
      <name val="Times New Roman"/>
    </font>
    <font>
      <b/>
      <i/>
      <sz val="21.0"/>
      <color theme="1"/>
      <name val="Times New Roman"/>
    </font>
    <font>
      <b/>
      <sz val="9.0"/>
      <color theme="1"/>
      <name val="Times New Roman"/>
    </font>
    <font>
      <b/>
      <sz val="20.0"/>
      <color rgb="FFFFFFFF"/>
      <name val="Times New Roman"/>
    </font>
    <font>
      <b/>
      <sz val="12.0"/>
      <color rgb="FF000000"/>
      <name val="Times New Roman"/>
    </font>
  </fonts>
  <fills count="14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993300"/>
        <bgColor rgb="FF993300"/>
      </patternFill>
    </fill>
    <fill>
      <patternFill patternType="solid">
        <fgColor rgb="FF00FF00"/>
        <bgColor rgb="FF00FF00"/>
      </patternFill>
    </fill>
    <fill>
      <patternFill patternType="solid">
        <fgColor rgb="FF99CC00"/>
        <bgColor rgb="FF99CC00"/>
      </patternFill>
    </fill>
    <fill>
      <patternFill patternType="solid">
        <fgColor rgb="FF31859B"/>
        <bgColor rgb="FF31859B"/>
      </patternFill>
    </fill>
    <fill>
      <patternFill patternType="solid">
        <fgColor rgb="FFB2A1C7"/>
        <bgColor rgb="FFB2A1C7"/>
      </patternFill>
    </fill>
    <fill>
      <patternFill patternType="solid">
        <fgColor theme="8"/>
        <bgColor theme="8"/>
      </patternFill>
    </fill>
    <fill>
      <patternFill patternType="solid">
        <fgColor theme="7"/>
        <bgColor theme="7"/>
      </patternFill>
    </fill>
    <fill>
      <patternFill patternType="solid">
        <fgColor rgb="FFC27BA0"/>
        <bgColor rgb="FFC27BA0"/>
      </patternFill>
    </fill>
    <fill>
      <patternFill patternType="solid">
        <fgColor rgb="FFC9DAF8"/>
        <bgColor rgb="FFC9DAF8"/>
      </patternFill>
    </fill>
  </fills>
  <borders count="110">
    <border/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/>
      <top/>
      <bottom/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 style="thin">
        <color rgb="FF000000"/>
      </right>
      <top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 style="thin">
        <color rgb="FF000000"/>
      </left>
      <right/>
      <top/>
      <bottom style="hair">
        <color rgb="FF000000"/>
      </bottom>
    </border>
    <border>
      <left style="thin">
        <color rgb="FF000000"/>
      </left>
      <right style="medium">
        <color rgb="FF000000"/>
      </right>
      <top/>
      <bottom style="hair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/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/>
      <right/>
      <top/>
      <bottom style="hair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/>
    </border>
    <border>
      <left style="thin">
        <color rgb="FF000000"/>
      </left>
      <right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hair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 style="hair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</border>
    <border>
      <left/>
      <right style="medium">
        <color rgb="FF000000"/>
      </right>
      <top/>
    </border>
    <border>
      <left/>
      <right style="medium">
        <color rgb="FF000000"/>
      </right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hair">
        <color rgb="FF000000"/>
      </top>
      <bottom/>
    </border>
    <border>
      <left/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/>
      <right style="medium">
        <color rgb="FF000000"/>
      </right>
      <top/>
      <bottom/>
    </border>
    <border>
      <left style="thin">
        <color rgb="FF000000"/>
      </left>
      <right/>
      <bottom style="thin">
        <color rgb="FF000000"/>
      </bottom>
    </border>
    <border>
      <left/>
      <right style="medium">
        <color rgb="FF000000"/>
      </right>
      <top/>
      <bottom style="hair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/>
      <top/>
      <bottom/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/>
      <right style="medium">
        <color rgb="FF000000"/>
      </right>
      <top style="thin">
        <color rgb="FF000000"/>
      </top>
    </border>
    <border>
      <left/>
      <right style="medium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4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2" fontId="3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3" fillId="2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2" fontId="5" numFmtId="0" xfId="0" applyAlignment="1" applyBorder="1" applyFont="1">
      <alignment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6" numFmtId="0" xfId="0" applyAlignment="1" applyBorder="1" applyFont="1">
      <alignment horizontal="center" shrinkToFit="0" vertical="center" wrapText="1"/>
    </xf>
    <xf borderId="13" fillId="2" fontId="7" numFmtId="0" xfId="0" applyAlignment="1" applyBorder="1" applyFont="1">
      <alignment horizontal="center" shrinkToFit="0" vertical="center" wrapText="1"/>
    </xf>
    <xf borderId="13" fillId="2" fontId="6" numFmtId="0" xfId="0" applyAlignment="1" applyBorder="1" applyFont="1">
      <alignment horizontal="center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3" fontId="6" numFmtId="0" xfId="0" applyAlignment="1" applyBorder="1" applyFill="1" applyFont="1">
      <alignment horizontal="center" shrinkToFit="0" vertical="center" wrapText="1"/>
    </xf>
    <xf borderId="15" fillId="4" fontId="6" numFmtId="0" xfId="0" applyAlignment="1" applyBorder="1" applyFill="1" applyFont="1">
      <alignment horizontal="center" shrinkToFit="0" vertical="center" wrapText="1"/>
    </xf>
    <xf borderId="14" fillId="2" fontId="7" numFmtId="0" xfId="0" applyAlignment="1" applyBorder="1" applyFont="1">
      <alignment horizontal="center" shrinkToFit="0" vertical="center" wrapText="1"/>
    </xf>
    <xf borderId="15" fillId="5" fontId="8" numFmtId="0" xfId="0" applyAlignment="1" applyBorder="1" applyFill="1" applyFont="1">
      <alignment horizontal="center" shrinkToFit="0" vertical="center" wrapText="1"/>
    </xf>
    <xf borderId="16" fillId="2" fontId="7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2" fontId="5" numFmtId="0" xfId="0" applyAlignment="1" applyBorder="1" applyFont="1">
      <alignment horizontal="center" shrinkToFit="0" vertical="center" wrapText="1"/>
    </xf>
    <xf borderId="22" fillId="2" fontId="6" numFmtId="0" xfId="0" applyAlignment="1" applyBorder="1" applyFont="1">
      <alignment horizontal="center" shrinkToFit="0" vertical="center" wrapText="1"/>
    </xf>
    <xf borderId="23" fillId="2" fontId="5" numFmtId="0" xfId="0" applyAlignment="1" applyBorder="1" applyFont="1">
      <alignment shrinkToFit="0" vertical="center" wrapText="1"/>
    </xf>
    <xf borderId="23" fillId="2" fontId="5" numFmtId="0" xfId="0" applyAlignment="1" applyBorder="1" applyFont="1">
      <alignment horizontal="center" shrinkToFit="0" vertical="center" wrapText="1"/>
    </xf>
    <xf borderId="23" fillId="3" fontId="5" numFmtId="0" xfId="0" applyAlignment="1" applyBorder="1" applyFont="1">
      <alignment shrinkToFit="0" vertical="center" wrapText="1"/>
    </xf>
    <xf borderId="23" fillId="2" fontId="9" numFmtId="0" xfId="0" applyAlignment="1" applyBorder="1" applyFont="1">
      <alignment shrinkToFit="0" vertical="center" wrapText="1"/>
    </xf>
    <xf borderId="24" fillId="2" fontId="5" numFmtId="0" xfId="0" applyAlignment="1" applyBorder="1" applyFont="1">
      <alignment shrinkToFit="0" vertical="center" wrapText="1"/>
    </xf>
    <xf borderId="25" fillId="2" fontId="1" numFmtId="0" xfId="0" applyAlignment="1" applyBorder="1" applyFont="1">
      <alignment horizontal="center" shrinkToFit="0" vertical="center" wrapText="1"/>
    </xf>
    <xf borderId="26" fillId="2" fontId="7" numFmtId="0" xfId="0" applyAlignment="1" applyBorder="1" applyFont="1">
      <alignment horizontal="center" shrinkToFit="0" vertical="center" wrapText="1"/>
    </xf>
    <xf borderId="27" fillId="2" fontId="10" numFmtId="0" xfId="0" applyAlignment="1" applyBorder="1" applyFont="1">
      <alignment shrinkToFit="0" vertical="center" wrapText="1"/>
    </xf>
    <xf borderId="26" fillId="2" fontId="5" numFmtId="0" xfId="0" applyAlignment="1" applyBorder="1" applyFont="1">
      <alignment horizontal="center" shrinkToFit="0" vertical="center" wrapText="1"/>
    </xf>
    <xf borderId="28" fillId="3" fontId="11" numFmtId="0" xfId="0" applyAlignment="1" applyBorder="1" applyFont="1">
      <alignment horizontal="center" shrinkToFit="0" vertical="center" wrapText="1"/>
    </xf>
    <xf borderId="28" fillId="4" fontId="11" numFmtId="0" xfId="0" applyAlignment="1" applyBorder="1" applyFont="1">
      <alignment horizontal="center" shrinkToFit="0" vertical="center" wrapText="1"/>
    </xf>
    <xf borderId="26" fillId="2" fontId="11" numFmtId="164" xfId="0" applyAlignment="1" applyBorder="1" applyFont="1" applyNumberFormat="1">
      <alignment horizontal="center" shrinkToFit="0" vertical="center" wrapText="1"/>
    </xf>
    <xf borderId="28" fillId="5" fontId="12" numFmtId="0" xfId="0" applyAlignment="1" applyBorder="1" applyFont="1">
      <alignment horizontal="center" shrinkToFit="0" vertical="center" wrapText="1"/>
    </xf>
    <xf borderId="29" fillId="2" fontId="13" numFmtId="0" xfId="0" applyAlignment="1" applyBorder="1" applyFont="1">
      <alignment horizontal="center" shrinkToFit="0" vertical="center" wrapText="1"/>
    </xf>
    <xf borderId="30" fillId="2" fontId="1" numFmtId="0" xfId="0" applyAlignment="1" applyBorder="1" applyFont="1">
      <alignment horizontal="center" shrinkToFit="0" vertical="center" wrapText="1"/>
    </xf>
    <xf borderId="31" fillId="2" fontId="7" numFmtId="0" xfId="0" applyAlignment="1" applyBorder="1" applyFont="1">
      <alignment horizontal="center" shrinkToFit="0" vertical="center" wrapText="1"/>
    </xf>
    <xf borderId="32" fillId="2" fontId="5" numFmtId="0" xfId="0" applyAlignment="1" applyBorder="1" applyFont="1">
      <alignment horizontal="center" shrinkToFit="0" vertical="center" wrapText="1"/>
    </xf>
    <xf borderId="31" fillId="2" fontId="5" numFmtId="0" xfId="0" applyAlignment="1" applyBorder="1" applyFont="1">
      <alignment horizontal="center" shrinkToFit="0" vertical="center" wrapText="1"/>
    </xf>
    <xf borderId="32" fillId="3" fontId="10" numFmtId="2" xfId="0" applyAlignment="1" applyBorder="1" applyFont="1" applyNumberFormat="1">
      <alignment horizontal="center" shrinkToFit="0" vertical="center" wrapText="1"/>
    </xf>
    <xf borderId="32" fillId="4" fontId="10" numFmtId="2" xfId="0" applyAlignment="1" applyBorder="1" applyFont="1" applyNumberFormat="1">
      <alignment horizontal="center" shrinkToFit="0" vertical="center" wrapText="1"/>
    </xf>
    <xf borderId="28" fillId="2" fontId="14" numFmtId="10" xfId="0" applyAlignment="1" applyBorder="1" applyFont="1" applyNumberFormat="1">
      <alignment horizontal="center" shrinkToFit="0" vertical="center" wrapText="1"/>
    </xf>
    <xf borderId="32" fillId="5" fontId="15" numFmtId="2" xfId="0" applyAlignment="1" applyBorder="1" applyFont="1" applyNumberFormat="1">
      <alignment horizontal="center" shrinkToFit="0" vertical="center" wrapText="1"/>
    </xf>
    <xf borderId="29" fillId="2" fontId="5" numFmtId="0" xfId="0" applyAlignment="1" applyBorder="1" applyFont="1">
      <alignment shrinkToFit="0" vertical="center" wrapText="1"/>
    </xf>
    <xf borderId="33" fillId="2" fontId="1" numFmtId="0" xfId="0" applyAlignment="1" applyBorder="1" applyFont="1">
      <alignment horizontal="center" shrinkToFit="0" vertical="center" wrapText="1"/>
    </xf>
    <xf borderId="34" fillId="2" fontId="10" numFmtId="0" xfId="0" applyAlignment="1" applyBorder="1" applyFont="1">
      <alignment shrinkToFit="0" wrapText="1"/>
    </xf>
    <xf borderId="35" fillId="2" fontId="5" numFmtId="0" xfId="0" applyAlignment="1" applyBorder="1" applyFont="1">
      <alignment horizontal="center" shrinkToFit="0" vertical="center" wrapText="1"/>
    </xf>
    <xf borderId="35" fillId="6" fontId="11" numFmtId="0" xfId="0" applyAlignment="1" applyBorder="1" applyFill="1" applyFont="1">
      <alignment horizontal="center" shrinkToFit="0" vertical="center" wrapText="1"/>
    </xf>
    <xf borderId="36" fillId="2" fontId="11" numFmtId="164" xfId="0" applyAlignment="1" applyBorder="1" applyFont="1" applyNumberFormat="1">
      <alignment horizontal="center" shrinkToFit="0" vertical="center" wrapText="1"/>
    </xf>
    <xf borderId="35" fillId="6" fontId="12" numFmtId="0" xfId="0" applyAlignment="1" applyBorder="1" applyFont="1">
      <alignment horizontal="center" shrinkToFit="0" vertical="center" wrapText="1"/>
    </xf>
    <xf borderId="37" fillId="6" fontId="16" numFmtId="0" xfId="0" applyAlignment="1" applyBorder="1" applyFont="1">
      <alignment horizontal="center" vertical="center"/>
    </xf>
    <xf borderId="25" fillId="2" fontId="17" numFmtId="0" xfId="0" applyAlignment="1" applyBorder="1" applyFont="1">
      <alignment horizontal="center" shrinkToFit="0" vertical="center" wrapText="1"/>
    </xf>
    <xf borderId="28" fillId="2" fontId="11" numFmtId="164" xfId="0" applyAlignment="1" applyBorder="1" applyFont="1" applyNumberFormat="1">
      <alignment horizontal="center" shrinkToFit="0" vertical="center" wrapText="1"/>
    </xf>
    <xf borderId="38" fillId="2" fontId="18" numFmtId="0" xfId="0" applyAlignment="1" applyBorder="1" applyFont="1">
      <alignment horizontal="center" shrinkToFit="0" vertical="center" wrapText="1"/>
    </xf>
    <xf borderId="30" fillId="2" fontId="17" numFmtId="0" xfId="0" applyAlignment="1" applyBorder="1" applyFont="1">
      <alignment horizontal="center" shrinkToFit="0" vertical="center" wrapText="1"/>
    </xf>
    <xf borderId="28" fillId="3" fontId="11" numFmtId="2" xfId="0" applyAlignment="1" applyBorder="1" applyFont="1" applyNumberFormat="1">
      <alignment horizontal="center" shrinkToFit="0" vertical="center" wrapText="1"/>
    </xf>
    <xf borderId="28" fillId="4" fontId="11" numFmtId="2" xfId="0" applyAlignment="1" applyBorder="1" applyFont="1" applyNumberFormat="1">
      <alignment horizontal="center" shrinkToFit="0" vertical="center" wrapText="1"/>
    </xf>
    <xf borderId="28" fillId="5" fontId="12" numFmtId="2" xfId="0" applyAlignment="1" applyBorder="1" applyFont="1" applyNumberFormat="1">
      <alignment horizontal="center" shrinkToFit="0" vertical="center" wrapText="1"/>
    </xf>
    <xf borderId="39" fillId="0" fontId="19" numFmtId="0" xfId="0" applyAlignment="1" applyBorder="1" applyFont="1">
      <alignment horizontal="center" shrinkToFit="0" vertical="center" wrapText="1"/>
    </xf>
    <xf borderId="40" fillId="0" fontId="19" numFmtId="0" xfId="0" applyAlignment="1" applyBorder="1" applyFont="1">
      <alignment horizontal="center" shrinkToFit="0" vertical="center" wrapText="1"/>
    </xf>
    <xf borderId="33" fillId="2" fontId="17" numFmtId="0" xfId="0" applyAlignment="1" applyBorder="1" applyFont="1">
      <alignment horizontal="center" shrinkToFit="0" vertical="center" wrapText="1"/>
    </xf>
    <xf borderId="35" fillId="2" fontId="7" numFmtId="0" xfId="0" applyAlignment="1" applyBorder="1" applyFont="1">
      <alignment horizontal="center" shrinkToFit="0" vertical="center" wrapText="1"/>
    </xf>
    <xf borderId="28" fillId="2" fontId="11" numFmtId="10" xfId="0" applyAlignment="1" applyBorder="1" applyFont="1" applyNumberFormat="1">
      <alignment horizontal="center" shrinkToFit="0" vertical="center" wrapText="1"/>
    </xf>
    <xf borderId="29" fillId="2" fontId="5" numFmtId="0" xfId="0" applyAlignment="1" applyBorder="1" applyFont="1">
      <alignment horizontal="center" shrinkToFit="0" vertical="center" wrapText="1"/>
    </xf>
    <xf borderId="34" fillId="2" fontId="10" numFmtId="0" xfId="0" applyAlignment="1" applyBorder="1" applyFont="1">
      <alignment shrinkToFit="0" vertical="center" wrapText="1"/>
    </xf>
    <xf borderId="29" fillId="2" fontId="18" numFmtId="0" xfId="0" applyAlignment="1" applyBorder="1" applyFont="1">
      <alignment horizontal="center" shrinkToFit="0" vertical="center" wrapText="1"/>
    </xf>
    <xf borderId="41" fillId="2" fontId="18" numFmtId="0" xfId="0" applyAlignment="1" applyBorder="1" applyFont="1">
      <alignment horizontal="center" shrinkToFit="0" vertical="center" wrapText="1"/>
    </xf>
    <xf borderId="35" fillId="6" fontId="12" numFmtId="20" xfId="0" applyAlignment="1" applyBorder="1" applyFont="1" applyNumberFormat="1">
      <alignment horizontal="center" shrinkToFit="0" vertical="center" wrapText="1"/>
    </xf>
    <xf borderId="25" fillId="2" fontId="20" numFmtId="0" xfId="0" applyAlignment="1" applyBorder="1" applyFont="1">
      <alignment horizontal="center" shrinkToFit="0" vertical="center" wrapText="1"/>
    </xf>
    <xf borderId="26" fillId="2" fontId="10" numFmtId="0" xfId="0" applyAlignment="1" applyBorder="1" applyFont="1">
      <alignment shrinkToFit="0" vertical="center" wrapText="1"/>
    </xf>
    <xf borderId="30" fillId="2" fontId="20" numFmtId="0" xfId="0" applyAlignment="1" applyBorder="1" applyFont="1">
      <alignment horizontal="center" shrinkToFit="0" vertical="center" wrapText="1"/>
    </xf>
    <xf borderId="31" fillId="2" fontId="10" numFmtId="0" xfId="0" applyAlignment="1" applyBorder="1" applyFont="1">
      <alignment shrinkToFit="0" vertical="center" wrapText="1"/>
    </xf>
    <xf borderId="36" fillId="2" fontId="10" numFmtId="0" xfId="0" applyAlignment="1" applyBorder="1" applyFont="1">
      <alignment shrinkToFit="0" vertical="center" wrapText="1"/>
    </xf>
    <xf borderId="36" fillId="2" fontId="5" numFmtId="0" xfId="0" applyAlignment="1" applyBorder="1" applyFont="1">
      <alignment horizontal="center" shrinkToFit="0" vertical="center" wrapText="1"/>
    </xf>
    <xf borderId="36" fillId="3" fontId="11" numFmtId="2" xfId="0" applyAlignment="1" applyBorder="1" applyFont="1" applyNumberFormat="1">
      <alignment horizontal="center" shrinkToFit="0" vertical="center" wrapText="1"/>
    </xf>
    <xf borderId="36" fillId="4" fontId="11" numFmtId="2" xfId="0" applyAlignment="1" applyBorder="1" applyFont="1" applyNumberFormat="1">
      <alignment horizontal="center" shrinkToFit="0" vertical="center" wrapText="1"/>
    </xf>
    <xf borderId="34" fillId="2" fontId="14" numFmtId="10" xfId="0" applyAlignment="1" applyBorder="1" applyFont="1" applyNumberFormat="1">
      <alignment horizontal="center" shrinkToFit="0" vertical="center" wrapText="1"/>
    </xf>
    <xf borderId="36" fillId="5" fontId="12" numFmtId="2" xfId="0" applyAlignment="1" applyBorder="1" applyFont="1" applyNumberFormat="1">
      <alignment horizontal="center" shrinkToFit="0" vertical="center" wrapText="1"/>
    </xf>
    <xf borderId="42" fillId="0" fontId="19" numFmtId="0" xfId="0" applyAlignment="1" applyBorder="1" applyFont="1">
      <alignment horizontal="center" shrinkToFit="0" vertical="center" wrapText="1"/>
    </xf>
    <xf borderId="32" fillId="2" fontId="14" numFmtId="10" xfId="0" applyAlignment="1" applyBorder="1" applyFont="1" applyNumberFormat="1">
      <alignment horizontal="center" shrinkToFit="0" vertical="center" wrapText="1"/>
    </xf>
    <xf borderId="36" fillId="2" fontId="7" numFmtId="0" xfId="0" applyAlignment="1" applyBorder="1" applyFont="1">
      <alignment horizontal="center" shrinkToFit="0" vertical="center" wrapText="1"/>
    </xf>
    <xf borderId="34" fillId="3" fontId="11" numFmtId="2" xfId="0" applyAlignment="1" applyBorder="1" applyFont="1" applyNumberFormat="1">
      <alignment horizontal="center" shrinkToFit="0" vertical="center" wrapText="1"/>
    </xf>
    <xf borderId="34" fillId="4" fontId="11" numFmtId="2" xfId="0" applyAlignment="1" applyBorder="1" applyFont="1" applyNumberFormat="1">
      <alignment horizontal="center" shrinkToFit="0" vertical="center" wrapText="1"/>
    </xf>
    <xf borderId="35" fillId="2" fontId="14" numFmtId="10" xfId="0" applyAlignment="1" applyBorder="1" applyFont="1" applyNumberFormat="1">
      <alignment horizontal="center" shrinkToFit="0" vertical="center" wrapText="1"/>
    </xf>
    <xf borderId="34" fillId="5" fontId="12" numFmtId="2" xfId="0" applyAlignment="1" applyBorder="1" applyFont="1" applyNumberFormat="1">
      <alignment horizontal="center" shrinkToFit="0" vertical="center" wrapText="1"/>
    </xf>
    <xf borderId="36" fillId="2" fontId="14" numFmtId="10" xfId="0" applyAlignment="1" applyBorder="1" applyFont="1" applyNumberFormat="1">
      <alignment horizontal="center" shrinkToFit="0" vertical="center" wrapText="1"/>
    </xf>
    <xf borderId="37" fillId="2" fontId="18" numFmtId="0" xfId="0" applyAlignment="1" applyBorder="1" applyFont="1">
      <alignment horizontal="center" shrinkToFit="0" vertical="center" wrapText="1"/>
    </xf>
    <xf borderId="43" fillId="2" fontId="17" numFmtId="0" xfId="0" applyAlignment="1" applyBorder="1" applyFont="1">
      <alignment horizontal="center" shrinkToFit="0" vertical="center" wrapText="1"/>
    </xf>
    <xf borderId="44" fillId="3" fontId="11" numFmtId="2" xfId="0" applyAlignment="1" applyBorder="1" applyFont="1" applyNumberFormat="1">
      <alignment horizontal="center" shrinkToFit="0" vertical="center" wrapText="1"/>
    </xf>
    <xf borderId="44" fillId="4" fontId="11" numFmtId="2" xfId="0" applyAlignment="1" applyBorder="1" applyFont="1" applyNumberFormat="1">
      <alignment horizontal="center" shrinkToFit="0" vertical="center" wrapText="1"/>
    </xf>
    <xf borderId="44" fillId="2" fontId="14" numFmtId="10" xfId="0" applyAlignment="1" applyBorder="1" applyFont="1" applyNumberFormat="1">
      <alignment horizontal="center" shrinkToFit="0" vertical="center" wrapText="1"/>
    </xf>
    <xf borderId="44" fillId="5" fontId="12" numFmtId="2" xfId="0" applyAlignment="1" applyBorder="1" applyFont="1" applyNumberFormat="1">
      <alignment horizontal="center" shrinkToFit="0" vertical="center" wrapText="1"/>
    </xf>
    <xf borderId="45" fillId="2" fontId="18" numFmtId="0" xfId="0" applyAlignment="1" applyBorder="1" applyFont="1">
      <alignment horizontal="center" shrinkToFit="0" vertical="center" wrapText="1"/>
    </xf>
    <xf borderId="46" fillId="2" fontId="17" numFmtId="0" xfId="0" applyAlignment="1" applyBorder="1" applyFont="1">
      <alignment horizontal="center" shrinkToFit="0" vertical="center" wrapText="1"/>
    </xf>
    <xf borderId="35" fillId="2" fontId="17" numFmtId="0" xfId="0" applyAlignment="1" applyBorder="1" applyFont="1">
      <alignment horizontal="center" shrinkToFit="0" vertical="center" wrapText="1"/>
    </xf>
    <xf borderId="46" fillId="2" fontId="5" numFmtId="0" xfId="0" applyAlignment="1" applyBorder="1" applyFont="1">
      <alignment horizontal="center" shrinkToFit="0" vertical="center" wrapText="1"/>
    </xf>
    <xf borderId="47" fillId="2" fontId="10" numFmtId="0" xfId="0" applyAlignment="1" applyBorder="1" applyFont="1">
      <alignment shrinkToFit="0" vertical="center" wrapText="1"/>
    </xf>
    <xf borderId="43" fillId="3" fontId="5" numFmtId="165" xfId="0" applyAlignment="1" applyBorder="1" applyFont="1" applyNumberFormat="1">
      <alignment horizontal="center" shrinkToFit="0" vertical="center" wrapText="1"/>
    </xf>
    <xf borderId="43" fillId="4" fontId="5" numFmtId="165" xfId="0" applyAlignment="1" applyBorder="1" applyFont="1" applyNumberFormat="1">
      <alignment horizontal="center" shrinkToFit="0" vertical="center" wrapText="1"/>
    </xf>
    <xf borderId="44" fillId="2" fontId="11" numFmtId="166" xfId="0" applyAlignment="1" applyBorder="1" applyFont="1" applyNumberFormat="1">
      <alignment horizontal="center" shrinkToFit="0" vertical="center" wrapText="1"/>
    </xf>
    <xf borderId="43" fillId="5" fontId="9" numFmtId="165" xfId="0" applyAlignment="1" applyBorder="1" applyFont="1" applyNumberFormat="1">
      <alignment horizontal="center" shrinkToFit="0" vertical="center" wrapText="1"/>
    </xf>
    <xf borderId="38" fillId="2" fontId="6" numFmtId="167" xfId="0" applyAlignment="1" applyBorder="1" applyFont="1" applyNumberFormat="1">
      <alignment horizontal="center" shrinkToFit="0" vertical="center" wrapText="1"/>
    </xf>
    <xf borderId="27" fillId="2" fontId="10" numFmtId="0" xfId="0" applyAlignment="1" applyBorder="1" applyFont="1">
      <alignment horizontal="left" shrinkToFit="0" vertical="center" wrapText="1"/>
    </xf>
    <xf borderId="32" fillId="3" fontId="5" numFmtId="165" xfId="0" applyAlignment="1" applyBorder="1" applyFont="1" applyNumberFormat="1">
      <alignment horizontal="center" shrinkToFit="0" vertical="center" wrapText="1"/>
    </xf>
    <xf borderId="32" fillId="4" fontId="5" numFmtId="165" xfId="0" applyAlignment="1" applyBorder="1" applyFont="1" applyNumberFormat="1">
      <alignment horizontal="center" shrinkToFit="0" vertical="center" wrapText="1"/>
    </xf>
    <xf borderId="32" fillId="5" fontId="9" numFmtId="165" xfId="0" applyAlignment="1" applyBorder="1" applyFont="1" applyNumberFormat="1">
      <alignment horizontal="center" shrinkToFit="0" vertical="center" wrapText="1"/>
    </xf>
    <xf borderId="45" fillId="2" fontId="6" numFmtId="167" xfId="0" applyAlignment="1" applyBorder="1" applyFont="1" applyNumberFormat="1">
      <alignment horizontal="center" shrinkToFit="0" vertical="center" wrapText="1"/>
    </xf>
    <xf borderId="33" fillId="2" fontId="20" numFmtId="0" xfId="0" applyAlignment="1" applyBorder="1" applyFont="1">
      <alignment horizontal="center" shrinkToFit="0" vertical="center" wrapText="1"/>
    </xf>
    <xf borderId="48" fillId="2" fontId="10" numFmtId="0" xfId="0" applyAlignment="1" applyBorder="1" applyFont="1">
      <alignment horizontal="left" shrinkToFit="0" vertical="center" wrapText="1"/>
    </xf>
    <xf borderId="46" fillId="3" fontId="5" numFmtId="165" xfId="0" applyAlignment="1" applyBorder="1" applyFont="1" applyNumberFormat="1">
      <alignment horizontal="center" shrinkToFit="0" vertical="center" wrapText="1"/>
    </xf>
    <xf borderId="35" fillId="4" fontId="5" numFmtId="165" xfId="0" applyAlignment="1" applyBorder="1" applyFont="1" applyNumberFormat="1">
      <alignment horizontal="center" shrinkToFit="0" vertical="center" wrapText="1"/>
    </xf>
    <xf borderId="35" fillId="5" fontId="9" numFmtId="165" xfId="0" applyAlignment="1" applyBorder="1" applyFont="1" applyNumberFormat="1">
      <alignment horizontal="center" shrinkToFit="0" vertical="center" wrapText="1"/>
    </xf>
    <xf borderId="49" fillId="2" fontId="6" numFmtId="167" xfId="0" applyAlignment="1" applyBorder="1" applyFont="1" applyNumberFormat="1">
      <alignment horizontal="center" shrinkToFit="0" vertical="center" wrapText="1"/>
    </xf>
    <xf borderId="26" fillId="2" fontId="6" numFmtId="0" xfId="0" applyAlignment="1" applyBorder="1" applyFont="1">
      <alignment horizontal="center" shrinkToFit="0" vertical="center" wrapText="1"/>
    </xf>
    <xf borderId="43" fillId="2" fontId="5" numFmtId="0" xfId="0" applyAlignment="1" applyBorder="1" applyFont="1">
      <alignment horizontal="center" shrinkToFit="0" vertical="center" wrapText="1"/>
    </xf>
    <xf borderId="43" fillId="3" fontId="5" numFmtId="0" xfId="0" applyAlignment="1" applyBorder="1" applyFont="1">
      <alignment horizontal="center" shrinkToFit="0" vertical="center" wrapText="1"/>
    </xf>
    <xf borderId="46" fillId="4" fontId="11" numFmtId="2" xfId="0" applyAlignment="1" applyBorder="1" applyFont="1" applyNumberFormat="1">
      <alignment horizontal="center" shrinkToFit="0" vertical="center" wrapText="1"/>
    </xf>
    <xf borderId="43" fillId="2" fontId="10" numFmtId="164" xfId="0" applyAlignment="1" applyBorder="1" applyFont="1" applyNumberFormat="1">
      <alignment horizontal="center" shrinkToFit="0" vertical="center" wrapText="1"/>
    </xf>
    <xf borderId="46" fillId="5" fontId="12" numFmtId="2" xfId="0" applyAlignment="1" applyBorder="1" applyFont="1" applyNumberFormat="1">
      <alignment horizontal="center" shrinkToFit="0" vertical="center" wrapText="1"/>
    </xf>
    <xf borderId="40" fillId="0" fontId="10" numFmtId="0" xfId="0" applyAlignment="1" applyBorder="1" applyFont="1">
      <alignment horizontal="center" vertical="center"/>
    </xf>
    <xf borderId="46" fillId="2" fontId="6" numFmtId="0" xfId="0" applyAlignment="1" applyBorder="1" applyFont="1">
      <alignment horizontal="center" shrinkToFit="0" vertical="center" wrapText="1"/>
    </xf>
    <xf borderId="50" fillId="2" fontId="10" numFmtId="0" xfId="0" applyAlignment="1" applyBorder="1" applyFont="1">
      <alignment shrinkToFit="0" vertical="center" wrapText="1"/>
    </xf>
    <xf borderId="32" fillId="3" fontId="5" numFmtId="10" xfId="0" applyAlignment="1" applyBorder="1" applyFont="1" applyNumberFormat="1">
      <alignment horizontal="center" shrinkToFit="0" vertical="center" wrapText="1"/>
    </xf>
    <xf borderId="46" fillId="2" fontId="10" numFmtId="164" xfId="0" applyAlignment="1" applyBorder="1" applyFont="1" applyNumberFormat="1">
      <alignment horizontal="center" shrinkToFit="0" vertical="center" wrapText="1"/>
    </xf>
    <xf borderId="51" fillId="0" fontId="21" numFmtId="0" xfId="0" applyAlignment="1" applyBorder="1" applyFont="1">
      <alignment horizontal="center" vertical="center"/>
    </xf>
    <xf borderId="36" fillId="2" fontId="6" numFmtId="0" xfId="0" applyAlignment="1" applyBorder="1" applyFont="1">
      <alignment horizontal="center" shrinkToFit="0" vertical="center" wrapText="1"/>
    </xf>
    <xf borderId="48" fillId="2" fontId="10" numFmtId="0" xfId="0" applyAlignment="1" applyBorder="1" applyFont="1">
      <alignment shrinkToFit="0" vertical="center" wrapText="1"/>
    </xf>
    <xf borderId="35" fillId="3" fontId="5" numFmtId="0" xfId="0" applyAlignment="1" applyBorder="1" applyFont="1">
      <alignment horizontal="center" shrinkToFit="0" vertical="center" wrapText="1"/>
    </xf>
    <xf borderId="35" fillId="4" fontId="11" numFmtId="2" xfId="0" applyAlignment="1" applyBorder="1" applyFont="1" applyNumberFormat="1">
      <alignment horizontal="center" shrinkToFit="0" vertical="center" wrapText="1"/>
    </xf>
    <xf borderId="35" fillId="2" fontId="10" numFmtId="164" xfId="0" applyAlignment="1" applyBorder="1" applyFont="1" applyNumberFormat="1">
      <alignment horizontal="center" shrinkToFit="0" vertical="center" wrapText="1"/>
    </xf>
    <xf borderId="35" fillId="5" fontId="12" numFmtId="2" xfId="0" applyAlignment="1" applyBorder="1" applyFont="1" applyNumberFormat="1">
      <alignment horizontal="center" shrinkToFit="0" vertical="center" wrapText="1"/>
    </xf>
    <xf borderId="37" fillId="0" fontId="5" numFmtId="0" xfId="0" applyAlignment="1" applyBorder="1" applyFont="1">
      <alignment horizontal="center" shrinkToFit="0" vertical="center" wrapText="1"/>
    </xf>
    <xf borderId="25" fillId="2" fontId="22" numFmtId="0" xfId="0" applyAlignment="1" applyBorder="1" applyFont="1">
      <alignment horizontal="center" shrinkToFit="0" vertical="center" wrapText="1"/>
    </xf>
    <xf borderId="52" fillId="3" fontId="23" numFmtId="10" xfId="0" applyAlignment="1" applyBorder="1" applyFont="1" applyNumberFormat="1">
      <alignment horizontal="center" shrinkToFit="0" vertical="center" wrapText="1"/>
    </xf>
    <xf borderId="52" fillId="4" fontId="23" numFmtId="10" xfId="0" applyAlignment="1" applyBorder="1" applyFont="1" applyNumberFormat="1">
      <alignment horizontal="center" shrinkToFit="0" vertical="center" wrapText="1"/>
    </xf>
    <xf borderId="53" fillId="2" fontId="23" numFmtId="164" xfId="0" applyAlignment="1" applyBorder="1" applyFont="1" applyNumberFormat="1">
      <alignment horizontal="center" shrinkToFit="0" vertical="center" wrapText="1"/>
    </xf>
    <xf borderId="52" fillId="5" fontId="24" numFmtId="10" xfId="0" applyAlignment="1" applyBorder="1" applyFont="1" applyNumberFormat="1">
      <alignment horizontal="center" shrinkToFit="0" vertical="center" wrapText="1"/>
    </xf>
    <xf borderId="54" fillId="2" fontId="6" numFmtId="167" xfId="0" applyAlignment="1" applyBorder="1" applyFont="1" applyNumberFormat="1">
      <alignment horizontal="center" shrinkToFit="0" vertical="center" wrapText="1"/>
    </xf>
    <xf borderId="30" fillId="2" fontId="22" numFmtId="0" xfId="0" applyAlignment="1" applyBorder="1" applyFont="1">
      <alignment horizontal="center" shrinkToFit="0" vertical="center" wrapText="1"/>
    </xf>
    <xf borderId="31" fillId="2" fontId="6" numFmtId="0" xfId="0" applyAlignment="1" applyBorder="1" applyFont="1">
      <alignment horizontal="center" shrinkToFit="0" vertical="center" wrapText="1"/>
    </xf>
    <xf borderId="55" fillId="2" fontId="10" numFmtId="0" xfId="0" applyAlignment="1" applyBorder="1" applyFont="1">
      <alignment shrinkToFit="0" vertical="center" wrapText="1"/>
    </xf>
    <xf borderId="53" fillId="3" fontId="23" numFmtId="10" xfId="0" applyAlignment="1" applyBorder="1" applyFont="1" applyNumberFormat="1">
      <alignment horizontal="center" shrinkToFit="0" vertical="center" wrapText="1"/>
    </xf>
    <xf borderId="53" fillId="4" fontId="23" numFmtId="10" xfId="0" applyAlignment="1" applyBorder="1" applyFont="1" applyNumberFormat="1">
      <alignment horizontal="center" shrinkToFit="0" vertical="center" wrapText="1"/>
    </xf>
    <xf borderId="53" fillId="5" fontId="24" numFmtId="10" xfId="0" applyAlignment="1" applyBorder="1" applyFont="1" applyNumberFormat="1">
      <alignment horizontal="center" shrinkToFit="0" vertical="center" wrapText="1"/>
    </xf>
    <xf borderId="56" fillId="2" fontId="5" numFmtId="0" xfId="0" applyAlignment="1" applyBorder="1" applyFont="1">
      <alignment shrinkToFit="0" vertical="center" wrapText="1"/>
    </xf>
    <xf borderId="57" fillId="2" fontId="22" numFmtId="0" xfId="0" applyAlignment="1" applyBorder="1" applyFont="1">
      <alignment horizontal="center" shrinkToFit="0" vertical="center" wrapText="1"/>
    </xf>
    <xf borderId="58" fillId="2" fontId="6" numFmtId="0" xfId="0" applyAlignment="1" applyBorder="1" applyFont="1">
      <alignment horizontal="center" shrinkToFit="0" vertical="center" wrapText="1"/>
    </xf>
    <xf borderId="59" fillId="2" fontId="10" numFmtId="0" xfId="0" applyAlignment="1" applyBorder="1" applyFont="1">
      <alignment shrinkToFit="0" vertical="center" wrapText="1"/>
    </xf>
    <xf borderId="58" fillId="2" fontId="5" numFmtId="0" xfId="0" applyAlignment="1" applyBorder="1" applyFont="1">
      <alignment horizontal="center" shrinkToFit="0" vertical="center" wrapText="1"/>
    </xf>
    <xf borderId="60" fillId="3" fontId="23" numFmtId="0" xfId="0" applyAlignment="1" applyBorder="1" applyFont="1">
      <alignment horizontal="center" shrinkToFit="0" vertical="center" wrapText="1"/>
    </xf>
    <xf borderId="60" fillId="4" fontId="23" numFmtId="0" xfId="0" applyAlignment="1" applyBorder="1" applyFont="1">
      <alignment horizontal="center" shrinkToFit="0" vertical="center" wrapText="1"/>
    </xf>
    <xf borderId="60" fillId="2" fontId="23" numFmtId="164" xfId="0" applyAlignment="1" applyBorder="1" applyFont="1" applyNumberFormat="1">
      <alignment horizontal="center" shrinkToFit="0" vertical="center" wrapText="1"/>
    </xf>
    <xf borderId="60" fillId="5" fontId="24" numFmtId="0" xfId="0" applyAlignment="1" applyBorder="1" applyFont="1">
      <alignment horizontal="center" shrinkToFit="0" vertical="center" wrapText="1"/>
    </xf>
    <xf borderId="61" fillId="2" fontId="6" numFmtId="167" xfId="0" applyAlignment="1" applyBorder="1" applyFont="1" applyNumberFormat="1">
      <alignment horizontal="center" shrinkToFit="0" vertical="center" wrapText="1"/>
    </xf>
    <xf borderId="6" fillId="2" fontId="5" numFmtId="0" xfId="0" applyAlignment="1" applyBorder="1" applyFon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6" fillId="2" fontId="25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6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62" fillId="2" fontId="7" numFmtId="0" xfId="0" applyAlignment="1" applyBorder="1" applyFont="1">
      <alignment horizontal="center" shrinkToFit="0" vertical="center" wrapText="1"/>
    </xf>
    <xf borderId="62" fillId="2" fontId="27" numFmtId="0" xfId="0" applyAlignment="1" applyBorder="1" applyFont="1">
      <alignment horizontal="center" shrinkToFit="0" vertical="center" wrapText="1"/>
    </xf>
    <xf borderId="15" fillId="7" fontId="28" numFmtId="0" xfId="0" applyAlignment="1" applyBorder="1" applyFill="1" applyFont="1">
      <alignment horizontal="center" shrinkToFit="0" vertical="center" wrapText="1"/>
    </xf>
    <xf borderId="15" fillId="8" fontId="28" numFmtId="0" xfId="0" applyAlignment="1" applyBorder="1" applyFill="1" applyFont="1">
      <alignment horizontal="center" shrinkToFit="0" vertical="center" wrapText="1"/>
    </xf>
    <xf borderId="15" fillId="9" fontId="28" numFmtId="0" xfId="0" applyAlignment="1" applyBorder="1" applyFill="1" applyFont="1">
      <alignment horizontal="center" shrinkToFit="0" vertical="center" wrapText="1"/>
    </xf>
    <xf borderId="16" fillId="2" fontId="6" numFmtId="0" xfId="0" applyAlignment="1" applyBorder="1" applyFont="1">
      <alignment horizontal="center" shrinkToFit="0" vertical="center" wrapText="1"/>
    </xf>
    <xf borderId="63" fillId="0" fontId="2" numFmtId="0" xfId="0" applyBorder="1" applyFont="1"/>
    <xf borderId="64" fillId="0" fontId="5" numFmtId="0" xfId="0" applyAlignment="1" applyBorder="1" applyFont="1">
      <alignment horizontal="center" shrinkToFit="0" vertical="center" wrapText="1"/>
    </xf>
    <xf borderId="65" fillId="0" fontId="6" numFmtId="0" xfId="0" applyAlignment="1" applyBorder="1" applyFont="1">
      <alignment horizontal="center" shrinkToFit="0" vertical="center" wrapText="1"/>
    </xf>
    <xf borderId="64" fillId="0" fontId="5" numFmtId="0" xfId="0" applyAlignment="1" applyBorder="1" applyFont="1">
      <alignment shrinkToFit="0" vertical="center" wrapText="1"/>
    </xf>
    <xf borderId="65" fillId="0" fontId="5" numFmtId="0" xfId="0" applyAlignment="1" applyBorder="1" applyFont="1">
      <alignment horizontal="center" shrinkToFit="0" vertical="center" wrapText="1"/>
    </xf>
    <xf borderId="65" fillId="0" fontId="5" numFmtId="0" xfId="0" applyAlignment="1" applyBorder="1" applyFont="1">
      <alignment shrinkToFit="0" vertical="center" wrapText="1"/>
    </xf>
    <xf borderId="23" fillId="7" fontId="9" numFmtId="0" xfId="0" applyAlignment="1" applyBorder="1" applyFont="1">
      <alignment shrinkToFit="0" vertical="center" wrapText="1"/>
    </xf>
    <xf borderId="23" fillId="8" fontId="9" numFmtId="0" xfId="0" applyAlignment="1" applyBorder="1" applyFont="1">
      <alignment shrinkToFit="0" vertical="center" wrapText="1"/>
    </xf>
    <xf borderId="23" fillId="9" fontId="9" numFmtId="0" xfId="0" applyAlignment="1" applyBorder="1" applyFont="1">
      <alignment shrinkToFit="0" vertical="center" wrapText="1"/>
    </xf>
    <xf borderId="66" fillId="0" fontId="5" numFmtId="0" xfId="0" applyAlignment="1" applyBorder="1" applyFont="1">
      <alignment shrinkToFit="0" vertical="center" wrapText="1"/>
    </xf>
    <xf borderId="52" fillId="2" fontId="7" numFmtId="0" xfId="0" applyAlignment="1" applyBorder="1" applyFont="1">
      <alignment horizontal="center" shrinkToFit="0" vertical="center" wrapText="1"/>
    </xf>
    <xf borderId="67" fillId="2" fontId="10" numFmtId="0" xfId="0" applyAlignment="1" applyBorder="1" applyFont="1">
      <alignment shrinkToFit="0" vertical="center" wrapText="1"/>
    </xf>
    <xf borderId="28" fillId="7" fontId="12" numFmtId="0" xfId="0" applyAlignment="1" applyBorder="1" applyFont="1">
      <alignment horizontal="center" shrinkToFit="0" vertical="center" wrapText="1"/>
    </xf>
    <xf borderId="28" fillId="8" fontId="12" numFmtId="0" xfId="0" applyAlignment="1" applyBorder="1" applyFont="1">
      <alignment horizontal="center" shrinkToFit="0" vertical="center" wrapText="1"/>
    </xf>
    <xf borderId="28" fillId="9" fontId="12" numFmtId="0" xfId="0" applyAlignment="1" applyBorder="1" applyFont="1">
      <alignment horizontal="center" shrinkToFit="0" vertical="center" wrapText="1"/>
    </xf>
    <xf borderId="38" fillId="2" fontId="13" numFmtId="0" xfId="0" applyAlignment="1" applyBorder="1" applyFont="1">
      <alignment horizontal="center" shrinkToFit="0" vertical="center" wrapText="1"/>
    </xf>
    <xf borderId="28" fillId="2" fontId="7" numFmtId="0" xfId="0" applyAlignment="1" applyBorder="1" applyFont="1">
      <alignment horizontal="center" shrinkToFit="0" vertical="center" wrapText="1"/>
    </xf>
    <xf borderId="45" fillId="2" fontId="13" numFmtId="0" xfId="0" applyAlignment="1" applyBorder="1" applyFont="1">
      <alignment horizontal="center" shrinkToFit="0" vertical="center" wrapText="1"/>
    </xf>
    <xf borderId="68" fillId="2" fontId="10" numFmtId="0" xfId="0" applyAlignment="1" applyBorder="1" applyFont="1">
      <alignment shrinkToFit="0" wrapText="1"/>
    </xf>
    <xf borderId="35" fillId="7" fontId="29" numFmtId="2" xfId="0" applyAlignment="1" applyBorder="1" applyFont="1" applyNumberFormat="1">
      <alignment horizontal="center" shrinkToFit="0" vertical="center" wrapText="1"/>
    </xf>
    <xf borderId="35" fillId="8" fontId="29" numFmtId="2" xfId="0" applyAlignment="1" applyBorder="1" applyFont="1" applyNumberFormat="1">
      <alignment horizontal="center" shrinkToFit="0" vertical="center" wrapText="1"/>
    </xf>
    <xf borderId="36" fillId="2" fontId="11" numFmtId="2" xfId="0" applyAlignment="1" applyBorder="1" applyFont="1" applyNumberFormat="1">
      <alignment horizontal="center" shrinkToFit="0" vertical="center" wrapText="1"/>
    </xf>
    <xf borderId="35" fillId="9" fontId="29" numFmtId="2" xfId="0" applyAlignment="1" applyBorder="1" applyFont="1" applyNumberFormat="1">
      <alignment horizontal="center" shrinkToFit="0" vertical="center" wrapText="1"/>
    </xf>
    <xf borderId="38" fillId="2" fontId="13" numFmtId="3" xfId="0" applyAlignment="1" applyBorder="1" applyFont="1" applyNumberFormat="1">
      <alignment horizontal="center" shrinkToFit="0" vertical="center" wrapText="1"/>
    </xf>
    <xf borderId="6" fillId="2" fontId="5" numFmtId="2" xfId="0" applyAlignment="1" applyBorder="1" applyFont="1" applyNumberFormat="1">
      <alignment shrinkToFit="0" vertical="center" wrapText="1"/>
    </xf>
    <xf borderId="69" fillId="2" fontId="7" numFmtId="0" xfId="0" applyAlignment="1" applyBorder="1" applyFont="1">
      <alignment horizontal="center" shrinkToFit="0" vertical="center" wrapText="1"/>
    </xf>
    <xf borderId="70" fillId="2" fontId="10" numFmtId="0" xfId="0" applyAlignment="1" applyBorder="1" applyFont="1">
      <alignment shrinkToFit="0" vertical="center" wrapText="1"/>
    </xf>
    <xf borderId="44" fillId="2" fontId="11" numFmtId="164" xfId="0" applyAlignment="1" applyBorder="1" applyFont="1" applyNumberFormat="1">
      <alignment horizontal="center" shrinkToFit="0" vertical="center" wrapText="1"/>
    </xf>
    <xf borderId="26" fillId="7" fontId="12" numFmtId="0" xfId="0" applyAlignment="1" applyBorder="1" applyFont="1">
      <alignment horizontal="center" shrinkToFit="0" vertical="center" wrapText="1"/>
    </xf>
    <xf borderId="26" fillId="8" fontId="12" numFmtId="0" xfId="0" applyAlignment="1" applyBorder="1" applyFont="1">
      <alignment horizontal="center" shrinkToFit="0" vertical="center" wrapText="1"/>
    </xf>
    <xf borderId="26" fillId="9" fontId="12" numFmtId="0" xfId="0" applyAlignment="1" applyBorder="1" applyFont="1">
      <alignment horizontal="center" shrinkToFit="0" vertical="center" wrapText="1"/>
    </xf>
    <xf borderId="31" fillId="7" fontId="12" numFmtId="0" xfId="0" applyAlignment="1" applyBorder="1" applyFont="1">
      <alignment horizontal="center" shrinkToFit="0" vertical="center" wrapText="1"/>
    </xf>
    <xf borderId="31" fillId="8" fontId="12" numFmtId="0" xfId="0" applyAlignment="1" applyBorder="1" applyFont="1">
      <alignment horizontal="center" shrinkToFit="0" vertical="center" wrapText="1"/>
    </xf>
    <xf borderId="31" fillId="2" fontId="11" numFmtId="164" xfId="0" applyAlignment="1" applyBorder="1" applyFont="1" applyNumberFormat="1">
      <alignment horizontal="center" shrinkToFit="0" vertical="center" wrapText="1"/>
    </xf>
    <xf borderId="31" fillId="9" fontId="12" numFmtId="0" xfId="0" applyAlignment="1" applyBorder="1" applyFont="1">
      <alignment horizontal="center" shrinkToFit="0" vertical="center" wrapText="1"/>
    </xf>
    <xf borderId="34" fillId="2" fontId="7" numFmtId="0" xfId="0" applyAlignment="1" applyBorder="1" applyFont="1">
      <alignment horizontal="center" shrinkToFit="0" vertical="center" wrapText="1"/>
    </xf>
    <xf borderId="35" fillId="7" fontId="12" numFmtId="0" xfId="0" applyAlignment="1" applyBorder="1" applyFont="1">
      <alignment horizontal="center" shrinkToFit="0" vertical="center" wrapText="1"/>
    </xf>
    <xf borderId="35" fillId="8" fontId="12" numFmtId="0" xfId="0" applyAlignment="1" applyBorder="1" applyFont="1">
      <alignment horizontal="center" shrinkToFit="0" vertical="center" wrapText="1"/>
    </xf>
    <xf borderId="35" fillId="2" fontId="11" numFmtId="164" xfId="0" applyAlignment="1" applyBorder="1" applyFont="1" applyNumberFormat="1">
      <alignment horizontal="center" shrinkToFit="0" vertical="center" wrapText="1"/>
    </xf>
    <xf borderId="35" fillId="9" fontId="12" numFmtId="0" xfId="0" applyAlignment="1" applyBorder="1" applyFont="1">
      <alignment horizontal="center" shrinkToFit="0" vertical="center" wrapText="1"/>
    </xf>
    <xf borderId="71" fillId="2" fontId="10" numFmtId="0" xfId="0" applyAlignment="1" applyBorder="1" applyFont="1">
      <alignment shrinkToFit="0" vertical="center" wrapText="1"/>
    </xf>
    <xf borderId="33" fillId="2" fontId="10" numFmtId="0" xfId="0" applyAlignment="1" applyBorder="1" applyFont="1">
      <alignment shrinkToFit="0" vertical="center" wrapText="1"/>
    </xf>
    <xf borderId="34" fillId="7" fontId="12" numFmtId="10" xfId="0" applyAlignment="1" applyBorder="1" applyFont="1" applyNumberFormat="1">
      <alignment horizontal="center" shrinkToFit="0" vertical="center" wrapText="1"/>
    </xf>
    <xf borderId="28" fillId="8" fontId="12" numFmtId="10" xfId="0" applyAlignment="1" applyBorder="1" applyFont="1" applyNumberFormat="1">
      <alignment horizontal="center" shrinkToFit="0" vertical="center" wrapText="1"/>
    </xf>
    <xf borderId="28" fillId="2" fontId="11" numFmtId="0" xfId="0" applyAlignment="1" applyBorder="1" applyFont="1">
      <alignment horizontal="center" shrinkToFit="0" vertical="center" wrapText="1"/>
    </xf>
    <xf borderId="28" fillId="9" fontId="12" numFmtId="10" xfId="0" applyAlignment="1" applyBorder="1" applyFont="1" applyNumberFormat="1">
      <alignment horizontal="center" shrinkToFit="0" vertical="center" wrapText="1"/>
    </xf>
    <xf borderId="28" fillId="7" fontId="12" numFmtId="10" xfId="0" applyAlignment="1" applyBorder="1" applyFont="1" applyNumberFormat="1">
      <alignment horizontal="center" shrinkToFit="0" vertical="center" wrapText="1"/>
    </xf>
    <xf borderId="35" fillId="7" fontId="8" numFmtId="168" xfId="0" applyAlignment="1" applyBorder="1" applyFont="1" applyNumberFormat="1">
      <alignment horizontal="center" shrinkToFit="0" vertical="center" wrapText="1"/>
    </xf>
    <xf borderId="35" fillId="8" fontId="8" numFmtId="168" xfId="0" applyAlignment="1" applyBorder="1" applyFont="1" applyNumberFormat="1">
      <alignment horizontal="center" shrinkToFit="0" vertical="center" wrapText="1"/>
    </xf>
    <xf borderId="35" fillId="9" fontId="8" numFmtId="169" xfId="0" applyAlignment="1" applyBorder="1" applyFont="1" applyNumberFormat="1">
      <alignment horizontal="center" shrinkToFit="0" vertical="center" wrapText="1"/>
    </xf>
    <xf borderId="67" fillId="2" fontId="10" numFmtId="0" xfId="0" applyAlignment="1" applyBorder="1" applyFont="1">
      <alignment horizontal="left" shrinkToFit="0" vertical="center" wrapText="1"/>
    </xf>
    <xf borderId="35" fillId="9" fontId="8" numFmtId="168" xfId="0" applyAlignment="1" applyBorder="1" applyFont="1" applyNumberFormat="1">
      <alignment horizontal="center" shrinkToFit="0" vertical="center" wrapText="1"/>
    </xf>
    <xf borderId="70" fillId="2" fontId="10" numFmtId="0" xfId="0" applyAlignment="1" applyBorder="1" applyFont="1">
      <alignment horizontal="left" shrinkToFit="0" vertical="center" wrapText="1"/>
    </xf>
    <xf borderId="52" fillId="2" fontId="6" numFmtId="0" xfId="0" applyAlignment="1" applyBorder="1" applyFont="1">
      <alignment horizontal="center" shrinkToFit="0" vertical="center" wrapText="1"/>
    </xf>
    <xf borderId="46" fillId="7" fontId="12" numFmtId="2" xfId="0" applyAlignment="1" applyBorder="1" applyFont="1" applyNumberFormat="1">
      <alignment horizontal="center" shrinkToFit="0" vertical="center" wrapText="1"/>
    </xf>
    <xf borderId="46" fillId="8" fontId="12" numFmtId="2" xfId="0" applyAlignment="1" applyBorder="1" applyFont="1" applyNumberFormat="1">
      <alignment horizontal="center" shrinkToFit="0" vertical="center" wrapText="1"/>
    </xf>
    <xf borderId="46" fillId="9" fontId="12" numFmtId="2" xfId="0" applyAlignment="1" applyBorder="1" applyFont="1" applyNumberFormat="1">
      <alignment horizontal="center" shrinkToFit="0" vertical="center" wrapText="1"/>
    </xf>
    <xf borderId="44" fillId="2" fontId="6" numFmtId="0" xfId="0" applyAlignment="1" applyBorder="1" applyFont="1">
      <alignment horizontal="center" shrinkToFit="0" vertical="center" wrapText="1"/>
    </xf>
    <xf borderId="30" fillId="2" fontId="10" numFmtId="0" xfId="0" applyAlignment="1" applyBorder="1" applyFont="1">
      <alignment shrinkToFit="0" vertical="center" wrapText="1"/>
    </xf>
    <xf borderId="34" fillId="2" fontId="6" numFmtId="0" xfId="0" applyAlignment="1" applyBorder="1" applyFont="1">
      <alignment horizontal="center" shrinkToFit="0" vertical="center" wrapText="1"/>
    </xf>
    <xf borderId="35" fillId="7" fontId="12" numFmtId="2" xfId="0" applyAlignment="1" applyBorder="1" applyFont="1" applyNumberFormat="1">
      <alignment horizontal="center" shrinkToFit="0" vertical="center" wrapText="1"/>
    </xf>
    <xf borderId="35" fillId="8" fontId="12" numFmtId="2" xfId="0" applyAlignment="1" applyBorder="1" applyFont="1" applyNumberFormat="1">
      <alignment horizontal="center" shrinkToFit="0" vertical="center" wrapText="1"/>
    </xf>
    <xf borderId="35" fillId="9" fontId="12" numFmtId="2" xfId="0" applyAlignment="1" applyBorder="1" applyFont="1" applyNumberFormat="1">
      <alignment horizontal="center" shrinkToFit="0" vertical="center" wrapText="1"/>
    </xf>
    <xf borderId="52" fillId="7" fontId="24" numFmtId="10" xfId="0" applyAlignment="1" applyBorder="1" applyFont="1" applyNumberFormat="1">
      <alignment horizontal="center" shrinkToFit="0" vertical="center" wrapText="1"/>
    </xf>
    <xf borderId="52" fillId="8" fontId="24" numFmtId="10" xfId="0" applyAlignment="1" applyBorder="1" applyFont="1" applyNumberFormat="1">
      <alignment horizontal="center" shrinkToFit="0" vertical="center" wrapText="1"/>
    </xf>
    <xf borderId="52" fillId="9" fontId="24" numFmtId="10" xfId="0" applyAlignment="1" applyBorder="1" applyFont="1" applyNumberFormat="1">
      <alignment horizontal="center" shrinkToFit="0" vertical="center" wrapText="1"/>
    </xf>
    <xf borderId="53" fillId="2" fontId="6" numFmtId="0" xfId="0" applyAlignment="1" applyBorder="1" applyFont="1">
      <alignment horizontal="center" shrinkToFit="0" vertical="center" wrapText="1"/>
    </xf>
    <xf borderId="72" fillId="2" fontId="10" numFmtId="0" xfId="0" applyAlignment="1" applyBorder="1" applyFont="1">
      <alignment shrinkToFit="0" vertical="center" wrapText="1"/>
    </xf>
    <xf borderId="53" fillId="7" fontId="24" numFmtId="10" xfId="0" applyAlignment="1" applyBorder="1" applyFont="1" applyNumberFormat="1">
      <alignment horizontal="center" shrinkToFit="0" vertical="center" wrapText="1"/>
    </xf>
    <xf borderId="53" fillId="8" fontId="24" numFmtId="10" xfId="0" applyAlignment="1" applyBorder="1" applyFont="1" applyNumberFormat="1">
      <alignment horizontal="center" shrinkToFit="0" vertical="center" wrapText="1"/>
    </xf>
    <xf borderId="53" fillId="9" fontId="24" numFmtId="10" xfId="0" applyAlignment="1" applyBorder="1" applyFont="1" applyNumberFormat="1">
      <alignment horizontal="center" shrinkToFit="0" vertical="center" wrapText="1"/>
    </xf>
    <xf borderId="28" fillId="2" fontId="6" numFmtId="0" xfId="0" applyAlignment="1" applyBorder="1" applyFont="1">
      <alignment horizontal="center" shrinkToFit="0" vertical="center" wrapText="1"/>
    </xf>
    <xf borderId="28" fillId="7" fontId="24" numFmtId="10" xfId="0" applyAlignment="1" applyBorder="1" applyFont="1" applyNumberFormat="1">
      <alignment horizontal="center" shrinkToFit="0" vertical="center" wrapText="1"/>
    </xf>
    <xf borderId="28" fillId="8" fontId="24" numFmtId="10" xfId="0" applyAlignment="1" applyBorder="1" applyFont="1" applyNumberFormat="1">
      <alignment horizontal="center" shrinkToFit="0" vertical="center" wrapText="1"/>
    </xf>
    <xf borderId="28" fillId="2" fontId="23" numFmtId="164" xfId="0" applyAlignment="1" applyBorder="1" applyFont="1" applyNumberFormat="1">
      <alignment horizontal="center" shrinkToFit="0" vertical="center" wrapText="1"/>
    </xf>
    <xf borderId="28" fillId="9" fontId="24" numFmtId="10" xfId="0" applyAlignment="1" applyBorder="1" applyFont="1" applyNumberFormat="1">
      <alignment horizontal="center" shrinkToFit="0" vertical="center" wrapText="1"/>
    </xf>
    <xf borderId="60" fillId="2" fontId="6" numFmtId="0" xfId="0" applyAlignment="1" applyBorder="1" applyFont="1">
      <alignment horizontal="center" shrinkToFit="0" vertical="center" wrapText="1"/>
    </xf>
    <xf borderId="57" fillId="2" fontId="10" numFmtId="0" xfId="0" applyAlignment="1" applyBorder="1" applyFont="1">
      <alignment shrinkToFit="0" vertical="center" wrapText="1"/>
    </xf>
    <xf borderId="60" fillId="7" fontId="24" numFmtId="0" xfId="0" applyAlignment="1" applyBorder="1" applyFont="1">
      <alignment horizontal="center" shrinkToFit="0" vertical="center" wrapText="1"/>
    </xf>
    <xf borderId="60" fillId="8" fontId="24" numFmtId="0" xfId="0" applyAlignment="1" applyBorder="1" applyFont="1">
      <alignment horizontal="center" shrinkToFit="0" vertical="center" wrapText="1"/>
    </xf>
    <xf borderId="60" fillId="2" fontId="11" numFmtId="10" xfId="0" applyAlignment="1" applyBorder="1" applyFont="1" applyNumberFormat="1">
      <alignment horizontal="center" shrinkToFit="0" vertical="center" wrapText="1"/>
    </xf>
    <xf borderId="60" fillId="9" fontId="24" numFmtId="0" xfId="0" applyAlignment="1" applyBorder="1" applyFont="1">
      <alignment horizontal="center" shrinkToFit="0" vertical="center" wrapText="1"/>
    </xf>
    <xf borderId="73" fillId="2" fontId="6" numFmtId="167" xfId="0" applyAlignment="1" applyBorder="1" applyFont="1" applyNumberFormat="1">
      <alignment horizontal="center" shrinkToFit="0" vertical="center" wrapText="1"/>
    </xf>
    <xf borderId="6" fillId="8" fontId="9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74" fillId="2" fontId="1" numFmtId="0" xfId="0" applyAlignment="1" applyBorder="1" applyFont="1">
      <alignment horizontal="center" shrinkToFit="0" vertical="center" wrapText="1"/>
    </xf>
    <xf borderId="75" fillId="2" fontId="7" numFmtId="0" xfId="0" applyAlignment="1" applyBorder="1" applyFont="1">
      <alignment horizontal="center" shrinkToFit="0" vertical="center" wrapText="1"/>
    </xf>
    <xf borderId="76" fillId="2" fontId="10" numFmtId="0" xfId="0" applyAlignment="1" applyBorder="1" applyFont="1">
      <alignment shrinkToFit="0" vertical="center" wrapText="1"/>
    </xf>
    <xf borderId="75" fillId="2" fontId="5" numFmtId="0" xfId="0" applyAlignment="1" applyBorder="1" applyFont="1">
      <alignment horizontal="center" shrinkToFit="0" vertical="center" wrapText="1"/>
    </xf>
    <xf borderId="77" fillId="7" fontId="12" numFmtId="0" xfId="0" applyAlignment="1" applyBorder="1" applyFont="1">
      <alignment horizontal="center" shrinkToFit="0" vertical="center" wrapText="1"/>
    </xf>
    <xf borderId="77" fillId="8" fontId="12" numFmtId="0" xfId="0" applyAlignment="1" applyBorder="1" applyFont="1">
      <alignment horizontal="center" shrinkToFit="0" vertical="center" wrapText="1"/>
    </xf>
    <xf borderId="77" fillId="2" fontId="11" numFmtId="164" xfId="0" applyAlignment="1" applyBorder="1" applyFont="1" applyNumberFormat="1">
      <alignment horizontal="center" shrinkToFit="0" vertical="center" wrapText="1"/>
    </xf>
    <xf borderId="77" fillId="2" fontId="11" numFmtId="10" xfId="0" applyAlignment="1" applyBorder="1" applyFont="1" applyNumberFormat="1">
      <alignment horizontal="center" shrinkToFit="0" vertical="center" wrapText="1"/>
    </xf>
    <xf borderId="75" fillId="9" fontId="12" numFmtId="0" xfId="0" applyAlignment="1" applyBorder="1" applyFont="1">
      <alignment horizontal="center" shrinkToFit="0" vertical="center" wrapText="1"/>
    </xf>
    <xf borderId="78" fillId="2" fontId="13" numFmtId="0" xfId="0" applyAlignment="1" applyBorder="1" applyFont="1">
      <alignment horizontal="center" shrinkToFit="0" vertical="center" wrapText="1"/>
    </xf>
    <xf borderId="79" fillId="0" fontId="2" numFmtId="0" xfId="0" applyBorder="1" applyFont="1"/>
    <xf borderId="39" fillId="0" fontId="2" numFmtId="0" xfId="0" applyBorder="1" applyFont="1"/>
    <xf borderId="80" fillId="2" fontId="10" numFmtId="0" xfId="0" applyAlignment="1" applyBorder="1" applyFont="1">
      <alignment shrinkToFit="0" vertical="center" wrapText="1"/>
    </xf>
    <xf borderId="75" fillId="7" fontId="12" numFmtId="0" xfId="0" applyAlignment="1" applyBorder="1" applyFont="1">
      <alignment horizontal="center" shrinkToFit="0" vertical="center" wrapText="1"/>
    </xf>
    <xf borderId="75" fillId="8" fontId="12" numFmtId="0" xfId="0" applyAlignment="1" applyBorder="1" applyFont="1">
      <alignment horizontal="center" shrinkToFit="0" vertical="center" wrapText="1"/>
    </xf>
    <xf borderId="40" fillId="0" fontId="2" numFmtId="0" xfId="0" applyBorder="1" applyFont="1"/>
    <xf borderId="81" fillId="0" fontId="2" numFmtId="0" xfId="0" applyBorder="1" applyFont="1"/>
    <xf borderId="82" fillId="2" fontId="10" numFmtId="0" xfId="0" applyAlignment="1" applyBorder="1" applyFont="1">
      <alignment shrinkToFit="0" wrapText="1"/>
    </xf>
    <xf borderId="35" fillId="2" fontId="11" numFmtId="2" xfId="0" applyAlignment="1" applyBorder="1" applyFont="1" applyNumberFormat="1">
      <alignment horizontal="center" shrinkToFit="0" vertical="center" wrapText="1"/>
    </xf>
    <xf borderId="74" fillId="2" fontId="17" numFmtId="0" xfId="0" applyAlignment="1" applyBorder="1" applyFont="1">
      <alignment horizontal="center" shrinkToFit="0" vertical="center" wrapText="1"/>
    </xf>
    <xf borderId="83" fillId="2" fontId="10" numFmtId="0" xfId="0" applyAlignment="1" applyBorder="1" applyFont="1">
      <alignment shrinkToFit="0" vertical="center" wrapText="1"/>
    </xf>
    <xf borderId="69" fillId="7" fontId="12" numFmtId="0" xfId="0" applyAlignment="1" applyBorder="1" applyFont="1">
      <alignment horizontal="center" shrinkToFit="0" vertical="center" wrapText="1"/>
    </xf>
    <xf borderId="69" fillId="8" fontId="12" numFmtId="0" xfId="0" applyAlignment="1" applyBorder="1" applyFont="1">
      <alignment horizontal="center" shrinkToFit="0" vertical="center" wrapText="1"/>
    </xf>
    <xf borderId="69" fillId="2" fontId="11" numFmtId="164" xfId="0" applyAlignment="1" applyBorder="1" applyFont="1" applyNumberFormat="1">
      <alignment horizontal="center" shrinkToFit="0" vertical="center" wrapText="1"/>
    </xf>
    <xf borderId="69" fillId="2" fontId="11" numFmtId="10" xfId="0" applyAlignment="1" applyBorder="1" applyFont="1" applyNumberFormat="1">
      <alignment horizontal="center" shrinkToFit="0" vertical="center" wrapText="1"/>
    </xf>
    <xf borderId="78" fillId="2" fontId="13" numFmtId="3" xfId="0" applyAlignment="1" applyBorder="1" applyFont="1" applyNumberFormat="1">
      <alignment horizontal="center" shrinkToFit="0" vertical="center" wrapText="1"/>
    </xf>
    <xf borderId="69" fillId="8" fontId="29" numFmtId="2" xfId="0" applyAlignment="1" applyBorder="1" applyFont="1" applyNumberFormat="1">
      <alignment horizontal="center" shrinkToFit="0" vertical="center" wrapText="1"/>
    </xf>
    <xf borderId="75" fillId="2" fontId="11" numFmtId="2" xfId="0" applyAlignment="1" applyBorder="1" applyFont="1" applyNumberFormat="1">
      <alignment horizontal="center" shrinkToFit="0" vertical="center" wrapText="1"/>
    </xf>
    <xf borderId="75" fillId="2" fontId="11" numFmtId="10" xfId="0" applyAlignment="1" applyBorder="1" applyFont="1" applyNumberFormat="1">
      <alignment horizontal="center" shrinkToFit="0" vertical="center" wrapText="1"/>
    </xf>
    <xf borderId="83" fillId="9" fontId="29" numFmtId="2" xfId="0" applyAlignment="1" applyBorder="1" applyFont="1" applyNumberFormat="1">
      <alignment horizontal="center" shrinkToFit="0" vertical="center" wrapText="1"/>
    </xf>
    <xf borderId="75" fillId="2" fontId="11" numFmtId="164" xfId="0" applyAlignment="1" applyBorder="1" applyFont="1" applyNumberFormat="1">
      <alignment horizontal="center" shrinkToFit="0" vertical="center" wrapText="1"/>
    </xf>
    <xf borderId="76" fillId="9" fontId="12" numFmtId="0" xfId="0" applyAlignment="1" applyBorder="1" applyFont="1">
      <alignment horizontal="center" shrinkToFit="0" vertical="center" wrapText="1"/>
    </xf>
    <xf borderId="6" fillId="2" fontId="10" numFmtId="0" xfId="0" applyAlignment="1" applyBorder="1" applyFont="1">
      <alignment shrinkToFit="0" wrapText="1"/>
    </xf>
    <xf borderId="46" fillId="7" fontId="29" numFmtId="2" xfId="0" applyAlignment="1" applyBorder="1" applyFont="1" applyNumberFormat="1">
      <alignment horizontal="center" shrinkToFit="0" vertical="center" wrapText="1"/>
    </xf>
    <xf borderId="46" fillId="8" fontId="29" numFmtId="2" xfId="0" applyAlignment="1" applyBorder="1" applyFont="1" applyNumberFormat="1">
      <alignment horizontal="center" shrinkToFit="0" vertical="center" wrapText="1"/>
    </xf>
    <xf borderId="46" fillId="2" fontId="11" numFmtId="2" xfId="0" applyAlignment="1" applyBorder="1" applyFont="1" applyNumberFormat="1">
      <alignment horizontal="center" shrinkToFit="0" vertical="center" wrapText="1"/>
    </xf>
    <xf borderId="44" fillId="2" fontId="11" numFmtId="10" xfId="0" applyAlignment="1" applyBorder="1" applyFont="1" applyNumberFormat="1">
      <alignment horizontal="center" shrinkToFit="0" vertical="center" wrapText="1"/>
    </xf>
    <xf borderId="46" fillId="9" fontId="29" numFmtId="2" xfId="0" applyAlignment="1" applyBorder="1" applyFont="1" applyNumberFormat="1">
      <alignment horizontal="center" shrinkToFit="0" vertical="center" wrapText="1"/>
    </xf>
    <xf borderId="84" fillId="2" fontId="10" numFmtId="0" xfId="0" applyAlignment="1" applyBorder="1" applyFont="1">
      <alignment shrinkToFit="0" wrapText="1"/>
    </xf>
    <xf borderId="43" fillId="7" fontId="29" numFmtId="2" xfId="0" applyAlignment="1" applyBorder="1" applyFont="1" applyNumberFormat="1">
      <alignment horizontal="center" shrinkToFit="0" vertical="center" wrapText="1"/>
    </xf>
    <xf borderId="43" fillId="8" fontId="29" numFmtId="2" xfId="0" applyAlignment="1" applyBorder="1" applyFont="1" applyNumberFormat="1">
      <alignment horizontal="center" shrinkToFit="0" vertical="center" wrapText="1"/>
    </xf>
    <xf borderId="43" fillId="2" fontId="11" numFmtId="2" xfId="0" applyAlignment="1" applyBorder="1" applyFont="1" applyNumberFormat="1">
      <alignment horizontal="center" shrinkToFit="0" vertical="center" wrapText="1"/>
    </xf>
    <xf borderId="43" fillId="2" fontId="11" numFmtId="10" xfId="0" applyAlignment="1" applyBorder="1" applyFont="1" applyNumberFormat="1">
      <alignment horizontal="center" shrinkToFit="0" vertical="center" wrapText="1"/>
    </xf>
    <xf borderId="43" fillId="9" fontId="29" numFmtId="2" xfId="0" applyAlignment="1" applyBorder="1" applyFont="1" applyNumberFormat="1">
      <alignment horizontal="center" shrinkToFit="0" vertical="center" wrapText="1"/>
    </xf>
    <xf borderId="85" fillId="6" fontId="16" numFmtId="0" xfId="0" applyAlignment="1" applyBorder="1" applyFont="1">
      <alignment horizontal="center" vertical="center"/>
    </xf>
    <xf borderId="74" fillId="2" fontId="20" numFmtId="0" xfId="0" applyAlignment="1" applyBorder="1" applyFont="1">
      <alignment horizontal="center" shrinkToFit="0" vertical="center" wrapText="1"/>
    </xf>
    <xf borderId="75" fillId="2" fontId="10" numFmtId="0" xfId="0" applyAlignment="1" applyBorder="1" applyFont="1">
      <alignment shrinkToFit="0" vertical="center" wrapText="1"/>
    </xf>
    <xf borderId="42" fillId="0" fontId="2" numFmtId="0" xfId="0" applyBorder="1" applyFont="1"/>
    <xf borderId="86" fillId="2" fontId="17" numFmtId="0" xfId="0" applyAlignment="1" applyBorder="1" applyFont="1">
      <alignment horizontal="center" shrinkToFit="0" vertical="center" wrapText="1"/>
    </xf>
    <xf borderId="87" fillId="2" fontId="13" numFmtId="0" xfId="0" applyAlignment="1" applyBorder="1" applyFont="1">
      <alignment horizontal="center" shrinkToFit="0" vertical="center" wrapText="1"/>
    </xf>
    <xf borderId="88" fillId="0" fontId="2" numFmtId="0" xfId="0" applyBorder="1" applyFont="1"/>
    <xf borderId="89" fillId="2" fontId="13" numFmtId="0" xfId="0" applyAlignment="1" applyBorder="1" applyFont="1">
      <alignment horizontal="center" shrinkToFit="0" vertical="center" wrapText="1"/>
    </xf>
    <xf borderId="90" fillId="0" fontId="2" numFmtId="0" xfId="0" applyBorder="1" applyFont="1"/>
    <xf borderId="91" fillId="0" fontId="2" numFmtId="0" xfId="0" applyBorder="1" applyFont="1"/>
    <xf borderId="92" fillId="2" fontId="7" numFmtId="0" xfId="0" applyAlignment="1" applyBorder="1" applyFont="1">
      <alignment horizontal="center" shrinkToFit="0" vertical="center" wrapText="1"/>
    </xf>
    <xf borderId="93" fillId="0" fontId="2" numFmtId="0" xfId="0" applyBorder="1" applyFont="1"/>
    <xf borderId="94" fillId="2" fontId="17" numFmtId="0" xfId="0" applyAlignment="1" applyBorder="1" applyFont="1">
      <alignment horizontal="center" shrinkToFit="0" vertical="center" wrapText="1"/>
    </xf>
    <xf borderId="95" fillId="0" fontId="2" numFmtId="0" xfId="0" applyBorder="1" applyFont="1"/>
    <xf borderId="96" fillId="2" fontId="13" numFmtId="0" xfId="0" applyAlignment="1" applyBorder="1" applyFont="1">
      <alignment horizontal="center" shrinkToFit="0" vertical="center" wrapText="1"/>
    </xf>
    <xf borderId="97" fillId="0" fontId="2" numFmtId="0" xfId="0" applyBorder="1" applyFont="1"/>
    <xf borderId="75" fillId="7" fontId="12" numFmtId="10" xfId="0" applyAlignment="1" applyBorder="1" applyFont="1" applyNumberFormat="1">
      <alignment horizontal="center" shrinkToFit="0" vertical="center" wrapText="1"/>
    </xf>
    <xf borderId="75" fillId="8" fontId="12" numFmtId="10" xfId="0" applyAlignment="1" applyBorder="1" applyFont="1" applyNumberFormat="1">
      <alignment horizontal="center" shrinkToFit="0" vertical="center" wrapText="1"/>
    </xf>
    <xf borderId="75" fillId="2" fontId="11" numFmtId="0" xfId="0" applyAlignment="1" applyBorder="1" applyFont="1">
      <alignment horizontal="center" shrinkToFit="0" vertical="center" wrapText="1"/>
    </xf>
    <xf borderId="75" fillId="9" fontId="12" numFmtId="10" xfId="0" applyAlignment="1" applyBorder="1" applyFont="1" applyNumberFormat="1">
      <alignment horizontal="center" shrinkToFit="0" vertical="center" wrapText="1"/>
    </xf>
    <xf borderId="98" fillId="2" fontId="13" numFmtId="0" xfId="0" applyAlignment="1" applyBorder="1" applyFont="1">
      <alignment horizontal="center" shrinkToFit="0" vertical="center" wrapText="1"/>
    </xf>
    <xf borderId="99" fillId="2" fontId="20" numFmtId="0" xfId="0" applyAlignment="1" applyBorder="1" applyFont="1">
      <alignment horizontal="center" shrinkToFit="0" vertical="center" wrapText="1"/>
    </xf>
    <xf borderId="75" fillId="7" fontId="8" numFmtId="168" xfId="0" applyAlignment="1" applyBorder="1" applyFont="1" applyNumberFormat="1">
      <alignment horizontal="center" shrinkToFit="0" vertical="center" wrapText="1"/>
    </xf>
    <xf borderId="75" fillId="8" fontId="8" numFmtId="168" xfId="0" applyAlignment="1" applyBorder="1" applyFont="1" applyNumberFormat="1">
      <alignment horizontal="center" shrinkToFit="0" vertical="center" wrapText="1"/>
    </xf>
    <xf borderId="75" fillId="2" fontId="11" numFmtId="166" xfId="0" applyAlignment="1" applyBorder="1" applyFont="1" applyNumberFormat="1">
      <alignment horizontal="center" shrinkToFit="0" vertical="center" wrapText="1"/>
    </xf>
    <xf borderId="75" fillId="9" fontId="8" numFmtId="169" xfId="0" applyAlignment="1" applyBorder="1" applyFont="1" applyNumberFormat="1">
      <alignment horizontal="center" shrinkToFit="0" vertical="center" wrapText="1"/>
    </xf>
    <xf borderId="100" fillId="2" fontId="20" numFmtId="0" xfId="0" applyAlignment="1" applyBorder="1" applyFont="1">
      <alignment horizontal="center" shrinkToFit="0" vertical="center" wrapText="1"/>
    </xf>
    <xf borderId="75" fillId="2" fontId="10" numFmtId="0" xfId="0" applyAlignment="1" applyBorder="1" applyFont="1">
      <alignment horizontal="left" shrinkToFit="0" vertical="center" wrapText="1"/>
    </xf>
    <xf borderId="75" fillId="9" fontId="8" numFmtId="168" xfId="0" applyAlignment="1" applyBorder="1" applyFont="1" applyNumberFormat="1">
      <alignment horizontal="center" shrinkToFit="0" vertical="center" wrapText="1"/>
    </xf>
    <xf borderId="101" fillId="2" fontId="20" numFmtId="0" xfId="0" applyAlignment="1" applyBorder="1" applyFont="1">
      <alignment horizontal="center" shrinkToFit="0" vertical="center" wrapText="1"/>
    </xf>
    <xf borderId="102" fillId="2" fontId="1" numFmtId="0" xfId="0" applyAlignment="1" applyBorder="1" applyFont="1">
      <alignment horizontal="center" shrinkToFit="0" vertical="center" wrapText="1"/>
    </xf>
    <xf borderId="13" fillId="7" fontId="12" numFmtId="2" xfId="0" applyAlignment="1" applyBorder="1" applyFont="1" applyNumberFormat="1">
      <alignment horizontal="center" shrinkToFit="0" vertical="center" wrapText="1"/>
    </xf>
    <xf borderId="13" fillId="8" fontId="12" numFmtId="2" xfId="0" applyAlignment="1" applyBorder="1" applyFont="1" applyNumberFormat="1">
      <alignment horizontal="center" shrinkToFit="0" vertical="center" wrapText="1"/>
    </xf>
    <xf borderId="13" fillId="2" fontId="10" numFmtId="164" xfId="0" applyAlignment="1" applyBorder="1" applyFont="1" applyNumberFormat="1">
      <alignment horizontal="center" shrinkToFit="0" vertical="center" wrapText="1"/>
    </xf>
    <xf borderId="13" fillId="2" fontId="11" numFmtId="10" xfId="0" applyAlignment="1" applyBorder="1" applyFont="1" applyNumberFormat="1">
      <alignment horizontal="center" shrinkToFit="0" vertical="center" wrapText="1"/>
    </xf>
    <xf borderId="13" fillId="9" fontId="12" numFmtId="2" xfId="0" applyAlignment="1" applyBorder="1" applyFont="1" applyNumberFormat="1">
      <alignment horizontal="center" shrinkToFit="0" vertical="center" wrapText="1"/>
    </xf>
    <xf borderId="103" fillId="0" fontId="2" numFmtId="0" xfId="0" applyBorder="1" applyFont="1"/>
    <xf borderId="104" fillId="0" fontId="2" numFmtId="0" xfId="0" applyBorder="1" applyFont="1"/>
    <xf borderId="105" fillId="0" fontId="2" numFmtId="0" xfId="0" applyBorder="1" applyFont="1"/>
    <xf borderId="106" fillId="0" fontId="2" numFmtId="0" xfId="0" applyBorder="1" applyFont="1"/>
    <xf borderId="107" fillId="0" fontId="2" numFmtId="0" xfId="0" applyBorder="1" applyFont="1"/>
    <xf borderId="102" fillId="2" fontId="22" numFmtId="0" xfId="0" applyAlignment="1" applyBorder="1" applyFont="1">
      <alignment horizontal="center" shrinkToFit="0" vertical="center" wrapText="1"/>
    </xf>
    <xf borderId="15" fillId="10" fontId="28" numFmtId="0" xfId="0" applyAlignment="1" applyBorder="1" applyFill="1" applyFont="1">
      <alignment horizontal="center" shrinkToFit="0" vertical="center" wrapText="1"/>
    </xf>
    <xf borderId="23" fillId="10" fontId="9" numFmtId="0" xfId="0" applyAlignment="1" applyBorder="1" applyFont="1">
      <alignment shrinkToFit="0" vertical="center" wrapText="1"/>
    </xf>
    <xf borderId="75" fillId="10" fontId="12" numFmtId="0" xfId="0" applyAlignment="1" applyBorder="1" applyFont="1">
      <alignment horizontal="center" shrinkToFit="0" vertical="center" wrapText="1"/>
    </xf>
    <xf borderId="35" fillId="10" fontId="29" numFmtId="2" xfId="0" applyAlignment="1" applyBorder="1" applyFont="1" applyNumberFormat="1">
      <alignment horizontal="center" shrinkToFit="0" vertical="center" wrapText="1"/>
    </xf>
    <xf borderId="35" fillId="9" fontId="29" numFmtId="0" xfId="0" applyAlignment="1" applyBorder="1" applyFont="1">
      <alignment horizontal="center" shrinkToFit="0" vertical="center" wrapText="1"/>
    </xf>
    <xf borderId="69" fillId="7" fontId="29" numFmtId="2" xfId="0" applyAlignment="1" applyBorder="1" applyFont="1" applyNumberFormat="1">
      <alignment horizontal="center" shrinkToFit="0" vertical="center" wrapText="1"/>
    </xf>
    <xf borderId="83" fillId="10" fontId="29" numFmtId="2" xfId="0" applyAlignment="1" applyBorder="1" applyFont="1" applyNumberFormat="1">
      <alignment horizontal="center" shrinkToFit="0" vertical="center" wrapText="1"/>
    </xf>
    <xf borderId="76" fillId="10" fontId="12" numFmtId="0" xfId="0" applyAlignment="1" applyBorder="1" applyFont="1">
      <alignment horizontal="center" shrinkToFit="0" vertical="center" wrapText="1"/>
    </xf>
    <xf borderId="46" fillId="10" fontId="29" numFmtId="2" xfId="0" applyAlignment="1" applyBorder="1" applyFont="1" applyNumberFormat="1">
      <alignment horizontal="center" shrinkToFit="0" vertical="center" wrapText="1"/>
    </xf>
    <xf borderId="43" fillId="10" fontId="29" numFmtId="2" xfId="0" applyAlignment="1" applyBorder="1" applyFont="1" applyNumberFormat="1">
      <alignment horizontal="center" shrinkToFit="0" vertical="center" wrapText="1"/>
    </xf>
    <xf borderId="43" fillId="9" fontId="29" numFmtId="0" xfId="0" applyAlignment="1" applyBorder="1" applyFont="1">
      <alignment horizontal="center" shrinkToFit="0" vertical="center" wrapText="1"/>
    </xf>
    <xf borderId="75" fillId="10" fontId="12" numFmtId="10" xfId="0" applyAlignment="1" applyBorder="1" applyFont="1" applyNumberFormat="1">
      <alignment horizontal="center" shrinkToFit="0" vertical="center" wrapText="1"/>
    </xf>
    <xf borderId="75" fillId="10" fontId="8" numFmtId="169" xfId="0" applyAlignment="1" applyBorder="1" applyFont="1" applyNumberFormat="1">
      <alignment horizontal="center" shrinkToFit="0" vertical="center" wrapText="1"/>
    </xf>
    <xf borderId="75" fillId="10" fontId="8" numFmtId="168" xfId="0" applyAlignment="1" applyBorder="1" applyFont="1" applyNumberFormat="1">
      <alignment horizontal="center" shrinkToFit="0" vertical="center" wrapText="1"/>
    </xf>
    <xf borderId="13" fillId="10" fontId="12" numFmtId="2" xfId="0" applyAlignment="1" applyBorder="1" applyFont="1" applyNumberFormat="1">
      <alignment horizontal="center" shrinkToFit="0" vertical="center" wrapText="1"/>
    </xf>
    <xf borderId="52" fillId="10" fontId="24" numFmtId="10" xfId="0" applyAlignment="1" applyBorder="1" applyFont="1" applyNumberFormat="1">
      <alignment horizontal="center" shrinkToFit="0" vertical="center" wrapText="1"/>
    </xf>
    <xf borderId="53" fillId="10" fontId="24" numFmtId="10" xfId="0" applyAlignment="1" applyBorder="1" applyFont="1" applyNumberFormat="1">
      <alignment horizontal="center" shrinkToFit="0" vertical="center" wrapText="1"/>
    </xf>
    <xf borderId="28" fillId="10" fontId="24" numFmtId="10" xfId="0" applyAlignment="1" applyBorder="1" applyFont="1" applyNumberFormat="1">
      <alignment horizontal="center" shrinkToFit="0" vertical="center" wrapText="1"/>
    </xf>
    <xf borderId="60" fillId="10" fontId="24" numFmtId="0" xfId="0" applyAlignment="1" applyBorder="1" applyFont="1">
      <alignment horizontal="center" shrinkToFit="0" vertical="center" wrapText="1"/>
    </xf>
    <xf borderId="35" fillId="7" fontId="29" numFmtId="0" xfId="0" applyAlignment="1" applyBorder="1" applyFont="1">
      <alignment horizontal="center" shrinkToFit="0" vertical="center" wrapText="1"/>
    </xf>
    <xf borderId="37" fillId="11" fontId="10" numFmtId="0" xfId="0" applyAlignment="1" applyBorder="1" applyFill="1" applyFont="1">
      <alignment horizontal="center" vertical="center"/>
    </xf>
    <xf borderId="37" fillId="11" fontId="16" numFmtId="0" xfId="0" applyAlignment="1" applyBorder="1" applyFont="1">
      <alignment horizontal="center" vertical="center"/>
    </xf>
    <xf borderId="76" fillId="7" fontId="12" numFmtId="0" xfId="0" applyAlignment="1" applyBorder="1" applyFont="1">
      <alignment horizontal="center" shrinkToFit="0" vertical="center" wrapText="1"/>
    </xf>
    <xf borderId="43" fillId="7" fontId="29" numFmtId="0" xfId="0" applyAlignment="1" applyBorder="1" applyFont="1">
      <alignment horizontal="center" shrinkToFit="0" vertical="center" wrapText="1"/>
    </xf>
    <xf borderId="85" fillId="11" fontId="16" numFmtId="0" xfId="0" applyAlignment="1" applyBorder="1" applyFont="1">
      <alignment horizontal="center" vertical="center"/>
    </xf>
    <xf borderId="108" fillId="2" fontId="13" numFmtId="0" xfId="0" applyAlignment="1" applyBorder="1" applyFont="1">
      <alignment horizontal="center" shrinkToFit="0" vertical="center" wrapText="1"/>
    </xf>
    <xf borderId="109" fillId="0" fontId="2" numFmtId="0" xfId="0" applyBorder="1" applyFont="1"/>
    <xf borderId="75" fillId="7" fontId="8" numFmtId="169" xfId="0" applyAlignment="1" applyBorder="1" applyFont="1" applyNumberFormat="1">
      <alignment horizontal="center" shrinkToFit="0" vertical="center" wrapText="1"/>
    </xf>
    <xf borderId="15" fillId="12" fontId="28" numFmtId="0" xfId="0" applyAlignment="1" applyBorder="1" applyFill="1" applyFont="1">
      <alignment horizontal="center" shrinkToFit="0" vertical="center" wrapText="1"/>
    </xf>
    <xf borderId="23" fillId="12" fontId="9" numFmtId="0" xfId="0" applyAlignment="1" applyBorder="1" applyFont="1">
      <alignment shrinkToFit="0" vertical="center" wrapText="1"/>
    </xf>
    <xf borderId="75" fillId="12" fontId="12" numFmtId="0" xfId="0" applyAlignment="1" applyBorder="1" applyFont="1">
      <alignment horizontal="center" shrinkToFit="0" vertical="center" wrapText="1"/>
    </xf>
    <xf borderId="82" fillId="2" fontId="10" numFmtId="0" xfId="0" applyAlignment="1" applyBorder="1" applyFont="1">
      <alignment shrinkToFit="0" vertical="center" wrapText="1"/>
    </xf>
    <xf borderId="35" fillId="12" fontId="29" numFmtId="2" xfId="0" applyAlignment="1" applyBorder="1" applyFont="1" applyNumberFormat="1">
      <alignment horizontal="center" shrinkToFit="0" vertical="center" wrapText="1"/>
    </xf>
    <xf borderId="76" fillId="12" fontId="12" numFmtId="0" xfId="0" applyAlignment="1" applyBorder="1" applyFont="1">
      <alignment horizontal="center" shrinkToFit="0" vertical="center" wrapText="1"/>
    </xf>
    <xf borderId="6" fillId="2" fontId="10" numFmtId="0" xfId="0" applyAlignment="1" applyBorder="1" applyFont="1">
      <alignment shrinkToFit="0" vertical="center" wrapText="1"/>
    </xf>
    <xf borderId="84" fillId="2" fontId="10" numFmtId="0" xfId="0" applyAlignment="1" applyBorder="1" applyFont="1">
      <alignment shrinkToFit="0" vertical="center" wrapText="1"/>
    </xf>
    <xf borderId="43" fillId="12" fontId="29" numFmtId="0" xfId="0" applyAlignment="1" applyBorder="1" applyFont="1">
      <alignment horizontal="center" shrinkToFit="0" vertical="center" wrapText="1"/>
    </xf>
    <xf borderId="75" fillId="12" fontId="12" numFmtId="10" xfId="0" applyAlignment="1" applyBorder="1" applyFont="1" applyNumberFormat="1">
      <alignment horizontal="center" shrinkToFit="0" vertical="center" wrapText="1"/>
    </xf>
    <xf borderId="75" fillId="12" fontId="8" numFmtId="169" xfId="0" applyAlignment="1" applyBorder="1" applyFont="1" applyNumberFormat="1">
      <alignment horizontal="center" shrinkToFit="0" vertical="center" wrapText="1"/>
    </xf>
    <xf borderId="75" fillId="12" fontId="8" numFmtId="168" xfId="0" applyAlignment="1" applyBorder="1" applyFont="1" applyNumberFormat="1">
      <alignment horizontal="center" shrinkToFit="0" vertical="center" wrapText="1"/>
    </xf>
    <xf borderId="13" fillId="12" fontId="12" numFmtId="2" xfId="0" applyAlignment="1" applyBorder="1" applyFont="1" applyNumberFormat="1">
      <alignment horizontal="center" shrinkToFit="0" vertical="center" wrapText="1"/>
    </xf>
    <xf borderId="52" fillId="12" fontId="24" numFmtId="10" xfId="0" applyAlignment="1" applyBorder="1" applyFont="1" applyNumberFormat="1">
      <alignment horizontal="center" shrinkToFit="0" vertical="center" wrapText="1"/>
    </xf>
    <xf borderId="53" fillId="12" fontId="24" numFmtId="10" xfId="0" applyAlignment="1" applyBorder="1" applyFont="1" applyNumberFormat="1">
      <alignment horizontal="center" shrinkToFit="0" vertical="center" wrapText="1"/>
    </xf>
    <xf borderId="28" fillId="12" fontId="24" numFmtId="10" xfId="0" applyAlignment="1" applyBorder="1" applyFont="1" applyNumberFormat="1">
      <alignment horizontal="center" shrinkToFit="0" vertical="center" wrapText="1"/>
    </xf>
    <xf borderId="60" fillId="12" fontId="24" numFmtId="0" xfId="0" applyAlignment="1" applyBorder="1" applyFont="1">
      <alignment horizontal="center" shrinkToFit="0" vertical="center" wrapText="1"/>
    </xf>
    <xf borderId="15" fillId="13" fontId="28" numFmtId="0" xfId="0" applyAlignment="1" applyBorder="1" applyFill="1" applyFont="1">
      <alignment horizontal="center" shrinkToFit="0" vertical="center" wrapText="1"/>
    </xf>
    <xf borderId="23" fillId="13" fontId="9" numFmtId="0" xfId="0" applyAlignment="1" applyBorder="1" applyFont="1">
      <alignment shrinkToFit="0" vertical="center" wrapText="1"/>
    </xf>
    <xf borderId="75" fillId="13" fontId="12" numFmtId="0" xfId="0" applyAlignment="1" applyBorder="1" applyFont="1">
      <alignment horizontal="center" shrinkToFit="0" vertical="center" wrapText="1"/>
    </xf>
    <xf borderId="35" fillId="13" fontId="29" numFmtId="2" xfId="0" applyAlignment="1" applyBorder="1" applyFont="1" applyNumberFormat="1">
      <alignment horizontal="center" shrinkToFit="0" vertical="center" wrapText="1"/>
    </xf>
    <xf borderId="35" fillId="7" fontId="12" numFmtId="0" xfId="0" applyAlignment="1" applyBorder="1" applyFont="1">
      <alignment horizontal="center" readingOrder="0" shrinkToFit="0" vertical="center" wrapText="1"/>
    </xf>
    <xf borderId="35" fillId="12" fontId="12" numFmtId="2" xfId="0" applyAlignment="1" applyBorder="1" applyFont="1" applyNumberFormat="1">
      <alignment horizontal="center" readingOrder="0" shrinkToFit="0" vertical="center" wrapText="1"/>
    </xf>
    <xf borderId="75" fillId="2" fontId="11" numFmtId="164" xfId="0" applyAlignment="1" applyBorder="1" applyFont="1" applyNumberFormat="1">
      <alignment horizontal="center" readingOrder="0" shrinkToFit="0" vertical="center" wrapText="1"/>
    </xf>
    <xf borderId="35" fillId="13" fontId="12" numFmtId="2" xfId="0" applyAlignment="1" applyBorder="1" applyFont="1" applyNumberFormat="1">
      <alignment horizontal="center" readingOrder="0" shrinkToFit="0" vertical="center" wrapText="1"/>
    </xf>
    <xf borderId="45" fillId="11" fontId="10" numFmtId="0" xfId="0" applyAlignment="1" applyBorder="1" applyFont="1">
      <alignment horizontal="center" vertical="center"/>
    </xf>
    <xf borderId="76" fillId="13" fontId="12" numFmtId="0" xfId="0" applyAlignment="1" applyBorder="1" applyFont="1">
      <alignment horizontal="center" shrinkToFit="0" vertical="center" wrapText="1"/>
    </xf>
    <xf borderId="43" fillId="13" fontId="29" numFmtId="0" xfId="0" applyAlignment="1" applyBorder="1" applyFont="1">
      <alignment horizontal="center" shrinkToFit="0" vertical="center" wrapText="1"/>
    </xf>
    <xf borderId="75" fillId="11" fontId="10" numFmtId="0" xfId="0" applyAlignment="1" applyBorder="1" applyFont="1">
      <alignment horizontal="center" vertical="center"/>
    </xf>
    <xf borderId="75" fillId="13" fontId="12" numFmtId="10" xfId="0" applyAlignment="1" applyBorder="1" applyFont="1" applyNumberFormat="1">
      <alignment horizontal="center" shrinkToFit="0" vertical="center" wrapText="1"/>
    </xf>
    <xf borderId="75" fillId="13" fontId="8" numFmtId="169" xfId="0" applyAlignment="1" applyBorder="1" applyFont="1" applyNumberFormat="1">
      <alignment horizontal="center" shrinkToFit="0" vertical="center" wrapText="1"/>
    </xf>
    <xf borderId="75" fillId="13" fontId="8" numFmtId="168" xfId="0" applyAlignment="1" applyBorder="1" applyFont="1" applyNumberFormat="1">
      <alignment horizontal="center" shrinkToFit="0" vertical="center" wrapText="1"/>
    </xf>
    <xf borderId="13" fillId="13" fontId="12" numFmtId="2" xfId="0" applyAlignment="1" applyBorder="1" applyFont="1" applyNumberFormat="1">
      <alignment horizontal="center" shrinkToFit="0" vertical="center" wrapText="1"/>
    </xf>
    <xf borderId="52" fillId="13" fontId="24" numFmtId="10" xfId="0" applyAlignment="1" applyBorder="1" applyFont="1" applyNumberFormat="1">
      <alignment horizontal="center" shrinkToFit="0" vertical="center" wrapText="1"/>
    </xf>
    <xf borderId="53" fillId="13" fontId="24" numFmtId="10" xfId="0" applyAlignment="1" applyBorder="1" applyFont="1" applyNumberFormat="1">
      <alignment horizontal="center" shrinkToFit="0" vertical="center" wrapText="1"/>
    </xf>
    <xf borderId="28" fillId="13" fontId="24" numFmtId="10" xfId="0" applyAlignment="1" applyBorder="1" applyFont="1" applyNumberFormat="1">
      <alignment horizontal="center" shrinkToFit="0" vertical="center" wrapText="1"/>
    </xf>
    <xf borderId="60" fillId="13" fontId="2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19050</xdr:rowOff>
    </xdr:from>
    <xdr:ext cx="857250" cy="733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0</xdr:row>
      <xdr:rowOff>38100</xdr:rowOff>
    </xdr:from>
    <xdr:ext cx="857250" cy="723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0</xdr:row>
      <xdr:rowOff>38100</xdr:rowOff>
    </xdr:from>
    <xdr:ext cx="857250" cy="7239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0</xdr:row>
      <xdr:rowOff>38100</xdr:rowOff>
    </xdr:from>
    <xdr:ext cx="857250" cy="7239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0</xdr:row>
      <xdr:rowOff>38100</xdr:rowOff>
    </xdr:from>
    <xdr:ext cx="857250" cy="7239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71"/>
    <col customWidth="1" min="2" max="2" width="7.14"/>
    <col customWidth="1" min="3" max="3" width="51.86"/>
    <col customWidth="1" min="4" max="4" width="58.57"/>
    <col customWidth="1" min="5" max="5" width="9.43"/>
    <col customWidth="1" min="6" max="6" width="14.29"/>
    <col customWidth="1" min="7" max="7" width="14.43"/>
    <col customWidth="1" min="8" max="8" width="13.86"/>
    <col customWidth="1" min="9" max="9" width="14.43"/>
    <col customWidth="1" min="10" max="10" width="23.14"/>
    <col customWidth="1" min="11" max="20" width="9.14"/>
    <col customWidth="1" min="21" max="26" width="8.0"/>
  </cols>
  <sheetData>
    <row r="1" ht="21.0" customHeight="1">
      <c r="A1" s="1"/>
      <c r="B1" s="2"/>
      <c r="C1" s="3" t="s">
        <v>0</v>
      </c>
      <c r="D1" s="4"/>
      <c r="E1" s="4"/>
      <c r="F1" s="4"/>
      <c r="G1" s="2"/>
      <c r="H1" s="5" t="s">
        <v>1</v>
      </c>
      <c r="I1" s="4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40.5" customHeight="1">
      <c r="A2" s="8"/>
      <c r="B2" s="9"/>
      <c r="C2" s="10"/>
      <c r="D2" s="11"/>
      <c r="E2" s="11"/>
      <c r="F2" s="11"/>
      <c r="G2" s="9"/>
      <c r="H2" s="10"/>
      <c r="I2" s="11"/>
      <c r="J2" s="12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2.75" customHeight="1">
      <c r="A3" s="13" t="s">
        <v>2</v>
      </c>
      <c r="B3" s="14" t="s">
        <v>3</v>
      </c>
      <c r="C3" s="15" t="s">
        <v>4</v>
      </c>
      <c r="D3" s="16" t="s">
        <v>5</v>
      </c>
      <c r="E3" s="14" t="s">
        <v>6</v>
      </c>
      <c r="F3" s="17">
        <v>2008.0</v>
      </c>
      <c r="G3" s="18">
        <v>2009.0</v>
      </c>
      <c r="H3" s="19" t="s">
        <v>7</v>
      </c>
      <c r="I3" s="20">
        <v>2010.0</v>
      </c>
      <c r="J3" s="21" t="s">
        <v>8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3.5" customHeight="1">
      <c r="A4" s="22"/>
      <c r="B4" s="23"/>
      <c r="C4" s="23"/>
      <c r="D4" s="23"/>
      <c r="E4" s="23"/>
      <c r="F4" s="24"/>
      <c r="G4" s="24"/>
      <c r="H4" s="23"/>
      <c r="I4" s="24"/>
      <c r="J4" s="25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0.5" customHeight="1">
      <c r="A5" s="26"/>
      <c r="B5" s="27"/>
      <c r="C5" s="28"/>
      <c r="D5" s="29"/>
      <c r="E5" s="28"/>
      <c r="F5" s="30"/>
      <c r="G5" s="28"/>
      <c r="H5" s="28"/>
      <c r="I5" s="31"/>
      <c r="J5" s="32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75" customHeight="1">
      <c r="A6" s="33" t="s">
        <v>9</v>
      </c>
      <c r="B6" s="34" t="s">
        <v>10</v>
      </c>
      <c r="C6" s="35" t="s">
        <v>11</v>
      </c>
      <c r="D6" s="36" t="s">
        <v>12</v>
      </c>
      <c r="E6" s="36" t="s">
        <v>13</v>
      </c>
      <c r="F6" s="37">
        <v>13771.0</v>
      </c>
      <c r="G6" s="38">
        <v>13004.0</v>
      </c>
      <c r="H6" s="39">
        <f t="shared" ref="H6:H30" si="2">SUM(I6-G6)</f>
        <v>-451</v>
      </c>
      <c r="I6" s="40">
        <v>12553.0</v>
      </c>
      <c r="J6" s="41" t="s">
        <v>14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75" customHeight="1">
      <c r="A7" s="42"/>
      <c r="B7" s="43" t="s">
        <v>15</v>
      </c>
      <c r="C7" s="35" t="s">
        <v>16</v>
      </c>
      <c r="D7" s="44" t="s">
        <v>17</v>
      </c>
      <c r="E7" s="45" t="s">
        <v>13</v>
      </c>
      <c r="F7" s="46">
        <f t="shared" ref="F7:G7" si="1">SUM(F6/(72*301))</f>
        <v>0.6354282023</v>
      </c>
      <c r="G7" s="47">
        <f t="shared" si="1"/>
        <v>0.600036914</v>
      </c>
      <c r="H7" s="48">
        <f t="shared" si="2"/>
        <v>-0.02081026209</v>
      </c>
      <c r="I7" s="49">
        <f>SUM(I6/(72*301))</f>
        <v>0.5792266519</v>
      </c>
      <c r="J7" s="50" t="s">
        <v>18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75" customHeight="1">
      <c r="A8" s="42"/>
      <c r="B8" s="43" t="s">
        <v>19</v>
      </c>
      <c r="C8" s="35" t="s">
        <v>20</v>
      </c>
      <c r="D8" s="44" t="s">
        <v>21</v>
      </c>
      <c r="E8" s="45" t="s">
        <v>13</v>
      </c>
      <c r="F8" s="46">
        <f>SUM(2568/3612)</f>
        <v>0.7109634551</v>
      </c>
      <c r="G8" s="47">
        <f>SUM(2352/3612)</f>
        <v>0.6511627907</v>
      </c>
      <c r="H8" s="48">
        <f t="shared" si="2"/>
        <v>-0.073089701</v>
      </c>
      <c r="I8" s="49">
        <f>SUM(2088/3612)</f>
        <v>0.5780730897</v>
      </c>
      <c r="J8" s="50" t="s">
        <v>18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31.5" customHeight="1">
      <c r="A9" s="51"/>
      <c r="B9" s="43" t="s">
        <v>22</v>
      </c>
      <c r="C9" s="52" t="s">
        <v>23</v>
      </c>
      <c r="D9" s="53" t="s">
        <v>24</v>
      </c>
      <c r="E9" s="53" t="s">
        <v>13</v>
      </c>
      <c r="F9" s="54">
        <v>3.15</v>
      </c>
      <c r="G9" s="54">
        <v>2.77</v>
      </c>
      <c r="H9" s="55">
        <f t="shared" si="2"/>
        <v>0.15</v>
      </c>
      <c r="I9" s="56">
        <v>2.92</v>
      </c>
      <c r="J9" s="57" t="s">
        <v>25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75" customHeight="1">
      <c r="A10" s="58" t="s">
        <v>26</v>
      </c>
      <c r="B10" s="34" t="s">
        <v>27</v>
      </c>
      <c r="C10" s="35" t="s">
        <v>11</v>
      </c>
      <c r="D10" s="36" t="s">
        <v>12</v>
      </c>
      <c r="E10" s="45" t="s">
        <v>13</v>
      </c>
      <c r="F10" s="37">
        <v>14693.0</v>
      </c>
      <c r="G10" s="38">
        <v>14567.0</v>
      </c>
      <c r="H10" s="59">
        <f t="shared" si="2"/>
        <v>2894</v>
      </c>
      <c r="I10" s="40">
        <v>17461.0</v>
      </c>
      <c r="J10" s="60" t="s">
        <v>28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4.75" customHeight="1">
      <c r="A11" s="61"/>
      <c r="B11" s="43" t="s">
        <v>29</v>
      </c>
      <c r="C11" s="35" t="s">
        <v>30</v>
      </c>
      <c r="D11" s="44" t="s">
        <v>31</v>
      </c>
      <c r="E11" s="45" t="s">
        <v>13</v>
      </c>
      <c r="F11" s="62">
        <f t="shared" ref="F11:G11" si="3">SUM(F10/(64*301))</f>
        <v>0.7627180233</v>
      </c>
      <c r="G11" s="63">
        <f t="shared" si="3"/>
        <v>0.7561773256</v>
      </c>
      <c r="H11" s="48">
        <f t="shared" si="2"/>
        <v>0.1502284053</v>
      </c>
      <c r="I11" s="64">
        <f>SUM(I10/(64*301))</f>
        <v>0.9064057309</v>
      </c>
      <c r="J11" s="65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75" customHeight="1">
      <c r="A12" s="61"/>
      <c r="B12" s="43" t="s">
        <v>32</v>
      </c>
      <c r="C12" s="35" t="s">
        <v>33</v>
      </c>
      <c r="D12" s="44" t="s">
        <v>34</v>
      </c>
      <c r="E12" s="45" t="s">
        <v>13</v>
      </c>
      <c r="F12" s="62">
        <f>SUM(6936/7224)</f>
        <v>0.9601328904</v>
      </c>
      <c r="G12" s="63">
        <f>SUM(6648/7224)</f>
        <v>0.9202657807</v>
      </c>
      <c r="H12" s="48">
        <f t="shared" si="2"/>
        <v>0.04318936877</v>
      </c>
      <c r="I12" s="64">
        <f>SUM(6960/7224)</f>
        <v>0.9634551495</v>
      </c>
      <c r="J12" s="6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67"/>
      <c r="B13" s="68" t="s">
        <v>35</v>
      </c>
      <c r="C13" s="52" t="s">
        <v>23</v>
      </c>
      <c r="D13" s="53" t="s">
        <v>24</v>
      </c>
      <c r="E13" s="53" t="s">
        <v>13</v>
      </c>
      <c r="F13" s="54">
        <v>3.05</v>
      </c>
      <c r="G13" s="54">
        <v>3.36</v>
      </c>
      <c r="H13" s="55">
        <f t="shared" si="2"/>
        <v>-0.18</v>
      </c>
      <c r="I13" s="56">
        <v>3.18</v>
      </c>
      <c r="J13" s="57" t="s">
        <v>36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4.75" customHeight="1">
      <c r="A14" s="58" t="s">
        <v>37</v>
      </c>
      <c r="B14" s="34" t="s">
        <v>38</v>
      </c>
      <c r="C14" s="35" t="s">
        <v>11</v>
      </c>
      <c r="D14" s="36" t="s">
        <v>12</v>
      </c>
      <c r="E14" s="36" t="s">
        <v>13</v>
      </c>
      <c r="F14" s="37">
        <v>5132.0</v>
      </c>
      <c r="G14" s="38">
        <v>5814.0</v>
      </c>
      <c r="H14" s="59">
        <f t="shared" si="2"/>
        <v>-1007</v>
      </c>
      <c r="I14" s="40">
        <v>4807.0</v>
      </c>
      <c r="J14" s="41" t="s">
        <v>39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75" customHeight="1">
      <c r="A15" s="61"/>
      <c r="B15" s="43" t="s">
        <v>40</v>
      </c>
      <c r="C15" s="35" t="s">
        <v>30</v>
      </c>
      <c r="D15" s="44" t="s">
        <v>41</v>
      </c>
      <c r="E15" s="45" t="s">
        <v>13</v>
      </c>
      <c r="F15" s="62">
        <f t="shared" ref="F15:G15" si="4">SUM(F14/(48*301))</f>
        <v>0.3552048726</v>
      </c>
      <c r="G15" s="63">
        <f t="shared" si="4"/>
        <v>0.4024086379</v>
      </c>
      <c r="H15" s="69">
        <f t="shared" si="2"/>
        <v>-0.06969822813</v>
      </c>
      <c r="I15" s="64">
        <f>SUM(I14/(48*301))</f>
        <v>0.3327104097</v>
      </c>
      <c r="J15" s="50" t="s">
        <v>42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4.75" customHeight="1">
      <c r="A16" s="61"/>
      <c r="B16" s="43" t="s">
        <v>43</v>
      </c>
      <c r="C16" s="35" t="s">
        <v>33</v>
      </c>
      <c r="D16" s="44" t="s">
        <v>44</v>
      </c>
      <c r="E16" s="45" t="s">
        <v>13</v>
      </c>
      <c r="F16" s="62">
        <f>SUM(1976/3612)</f>
        <v>0.5470653378</v>
      </c>
      <c r="G16" s="63">
        <f>SUM(1764/3612)</f>
        <v>0.488372093</v>
      </c>
      <c r="H16" s="48">
        <f t="shared" si="2"/>
        <v>-0.06976744186</v>
      </c>
      <c r="I16" s="64">
        <f>SUM(1512/3612)</f>
        <v>0.4186046512</v>
      </c>
      <c r="J16" s="70" t="s">
        <v>28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37.5" customHeight="1">
      <c r="A17" s="67"/>
      <c r="B17" s="43" t="s">
        <v>45</v>
      </c>
      <c r="C17" s="71" t="s">
        <v>23</v>
      </c>
      <c r="D17" s="53" t="s">
        <v>24</v>
      </c>
      <c r="E17" s="53" t="s">
        <v>13</v>
      </c>
      <c r="F17" s="54">
        <v>3.6</v>
      </c>
      <c r="G17" s="54">
        <v>3.89</v>
      </c>
      <c r="H17" s="55">
        <f t="shared" si="2"/>
        <v>-0.01</v>
      </c>
      <c r="I17" s="56">
        <v>3.88</v>
      </c>
      <c r="J17" s="57" t="s">
        <v>46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4.75" customHeight="1">
      <c r="A18" s="58" t="s">
        <v>47</v>
      </c>
      <c r="B18" s="34" t="s">
        <v>48</v>
      </c>
      <c r="C18" s="35" t="s">
        <v>11</v>
      </c>
      <c r="D18" s="36" t="s">
        <v>12</v>
      </c>
      <c r="E18" s="36" t="s">
        <v>13</v>
      </c>
      <c r="F18" s="37">
        <v>3345.0</v>
      </c>
      <c r="G18" s="38">
        <v>3406.0</v>
      </c>
      <c r="H18" s="59">
        <f t="shared" si="2"/>
        <v>-790</v>
      </c>
      <c r="I18" s="40">
        <v>2616.0</v>
      </c>
      <c r="J18" s="72" t="s">
        <v>49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75" customHeight="1">
      <c r="A19" s="61"/>
      <c r="B19" s="43" t="s">
        <v>50</v>
      </c>
      <c r="C19" s="35" t="s">
        <v>30</v>
      </c>
      <c r="D19" s="44" t="s">
        <v>41</v>
      </c>
      <c r="E19" s="45" t="s">
        <v>13</v>
      </c>
      <c r="F19" s="62">
        <f t="shared" ref="F19:G19" si="5">SUM(F18/(48*301))</f>
        <v>0.2315199336</v>
      </c>
      <c r="G19" s="63">
        <f t="shared" si="5"/>
        <v>0.2357419712</v>
      </c>
      <c r="H19" s="48">
        <f t="shared" si="2"/>
        <v>-0.05467884828</v>
      </c>
      <c r="I19" s="64">
        <f>SUM(I18/(48*301))</f>
        <v>0.1810631229</v>
      </c>
      <c r="J19" s="73" t="s">
        <v>28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4.75" customHeight="1">
      <c r="A20" s="61"/>
      <c r="B20" s="43" t="s">
        <v>51</v>
      </c>
      <c r="C20" s="35" t="s">
        <v>33</v>
      </c>
      <c r="D20" s="44" t="s">
        <v>52</v>
      </c>
      <c r="E20" s="45" t="s">
        <v>13</v>
      </c>
      <c r="F20" s="62">
        <f>SUM(936/3612)</f>
        <v>0.2591362126</v>
      </c>
      <c r="G20" s="63">
        <f>SUM(882/3612)</f>
        <v>0.2441860465</v>
      </c>
      <c r="H20" s="48">
        <f t="shared" si="2"/>
        <v>-0.08471760797</v>
      </c>
      <c r="I20" s="64">
        <f>SUM(576/3612)</f>
        <v>0.1594684385</v>
      </c>
      <c r="J20" s="72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1.5" customHeight="1">
      <c r="A21" s="67"/>
      <c r="B21" s="43" t="s">
        <v>53</v>
      </c>
      <c r="C21" s="52" t="s">
        <v>23</v>
      </c>
      <c r="D21" s="53" t="s">
        <v>24</v>
      </c>
      <c r="E21" s="53" t="s">
        <v>13</v>
      </c>
      <c r="F21" s="54">
        <v>2.86</v>
      </c>
      <c r="G21" s="54">
        <v>3.69</v>
      </c>
      <c r="H21" s="55">
        <f t="shared" si="2"/>
        <v>-3.564305556</v>
      </c>
      <c r="I21" s="74">
        <v>0.12569444444444444</v>
      </c>
      <c r="J21" s="57" t="s">
        <v>54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4.75" customHeight="1">
      <c r="A22" s="75" t="s">
        <v>55</v>
      </c>
      <c r="B22" s="34" t="s">
        <v>56</v>
      </c>
      <c r="C22" s="76" t="s">
        <v>11</v>
      </c>
      <c r="D22" s="36" t="s">
        <v>12</v>
      </c>
      <c r="E22" s="36" t="s">
        <v>13</v>
      </c>
      <c r="F22" s="37">
        <v>2175.0</v>
      </c>
      <c r="G22" s="38">
        <v>2384.0</v>
      </c>
      <c r="H22" s="59">
        <f t="shared" si="2"/>
        <v>83</v>
      </c>
      <c r="I22" s="40">
        <v>2467.0</v>
      </c>
      <c r="J22" s="60" t="s">
        <v>49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4.75" customHeight="1">
      <c r="A23" s="77"/>
      <c r="B23" s="43" t="s">
        <v>57</v>
      </c>
      <c r="C23" s="78" t="s">
        <v>30</v>
      </c>
      <c r="D23" s="44" t="s">
        <v>58</v>
      </c>
      <c r="E23" s="45" t="s">
        <v>13</v>
      </c>
      <c r="F23" s="62">
        <f t="shared" ref="F23:G23" si="6">SUM(F22/(72*301))</f>
        <v>0.1003599114</v>
      </c>
      <c r="G23" s="63">
        <f t="shared" si="6"/>
        <v>0.1100036914</v>
      </c>
      <c r="H23" s="69">
        <f t="shared" si="2"/>
        <v>0.003829826504</v>
      </c>
      <c r="I23" s="64">
        <f>SUM(I22/(72*301))</f>
        <v>0.1138335179</v>
      </c>
      <c r="J23" s="65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4.75" customHeight="1">
      <c r="A24" s="77"/>
      <c r="B24" s="43" t="s">
        <v>59</v>
      </c>
      <c r="C24" s="79" t="s">
        <v>33</v>
      </c>
      <c r="D24" s="44" t="s">
        <v>60</v>
      </c>
      <c r="E24" s="80" t="s">
        <v>13</v>
      </c>
      <c r="F24" s="81">
        <f>SUM(936/3612)</f>
        <v>0.2591362126</v>
      </c>
      <c r="G24" s="82">
        <f>SUM(882/3612)</f>
        <v>0.2441860465</v>
      </c>
      <c r="H24" s="83">
        <f t="shared" si="2"/>
        <v>-0.02491694352</v>
      </c>
      <c r="I24" s="84">
        <f>SUM(792/3612)</f>
        <v>0.219269103</v>
      </c>
      <c r="J24" s="85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4.75" customHeight="1">
      <c r="A25" s="58" t="s">
        <v>61</v>
      </c>
      <c r="B25" s="34" t="s">
        <v>62</v>
      </c>
      <c r="C25" s="35" t="s">
        <v>11</v>
      </c>
      <c r="D25" s="36" t="s">
        <v>12</v>
      </c>
      <c r="E25" s="45" t="s">
        <v>13</v>
      </c>
      <c r="F25" s="37">
        <v>12357.0</v>
      </c>
      <c r="G25" s="38">
        <v>11831.0</v>
      </c>
      <c r="H25" s="59">
        <f t="shared" si="2"/>
        <v>1593</v>
      </c>
      <c r="I25" s="40">
        <v>13424.0</v>
      </c>
      <c r="J25" s="60" t="s">
        <v>28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4.75" customHeight="1">
      <c r="A26" s="61"/>
      <c r="B26" s="43" t="s">
        <v>63</v>
      </c>
      <c r="C26" s="35" t="s">
        <v>30</v>
      </c>
      <c r="D26" s="44" t="s">
        <v>64</v>
      </c>
      <c r="E26" s="45" t="s">
        <v>13</v>
      </c>
      <c r="F26" s="62">
        <f t="shared" ref="F26:G26" si="7">SUM(F25/(48*301))</f>
        <v>0.8552740864</v>
      </c>
      <c r="G26" s="63">
        <f t="shared" si="7"/>
        <v>0.8188676633</v>
      </c>
      <c r="H26" s="86">
        <f t="shared" si="2"/>
        <v>0.1102574751</v>
      </c>
      <c r="I26" s="64">
        <f>SUM(I25/(48*301))</f>
        <v>0.9291251384</v>
      </c>
      <c r="J26" s="65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4.75" customHeight="1">
      <c r="A27" s="61"/>
      <c r="B27" s="87" t="s">
        <v>65</v>
      </c>
      <c r="C27" s="79" t="s">
        <v>33</v>
      </c>
      <c r="D27" s="44" t="s">
        <v>66</v>
      </c>
      <c r="E27" s="80" t="s">
        <v>13</v>
      </c>
      <c r="F27" s="88">
        <f>SUM(2988/3612)</f>
        <v>0.8272425249</v>
      </c>
      <c r="G27" s="89">
        <f>SUM(2808/3612)</f>
        <v>0.7774086379</v>
      </c>
      <c r="H27" s="90">
        <f t="shared" si="2"/>
        <v>0.01993355482</v>
      </c>
      <c r="I27" s="91">
        <f>SUM(2880/3612)</f>
        <v>0.7973421927</v>
      </c>
      <c r="J27" s="85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4.75" customHeight="1">
      <c r="A28" s="58" t="s">
        <v>67</v>
      </c>
      <c r="B28" s="43" t="s">
        <v>68</v>
      </c>
      <c r="C28" s="35" t="s">
        <v>11</v>
      </c>
      <c r="D28" s="36" t="s">
        <v>12</v>
      </c>
      <c r="E28" s="45" t="s">
        <v>13</v>
      </c>
      <c r="F28" s="37">
        <v>4406.0</v>
      </c>
      <c r="G28" s="38">
        <v>4390.0</v>
      </c>
      <c r="H28" s="59">
        <f t="shared" si="2"/>
        <v>57</v>
      </c>
      <c r="I28" s="40">
        <v>4447.0</v>
      </c>
      <c r="J28" s="72" t="s">
        <v>49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4.75" customHeight="1">
      <c r="A29" s="61"/>
      <c r="B29" s="43" t="s">
        <v>69</v>
      </c>
      <c r="C29" s="35" t="s">
        <v>30</v>
      </c>
      <c r="D29" s="44" t="s">
        <v>70</v>
      </c>
      <c r="E29" s="45" t="s">
        <v>13</v>
      </c>
      <c r="F29" s="62">
        <f>SUM(3921/(72*301))</f>
        <v>0.1809246955</v>
      </c>
      <c r="G29" s="63">
        <f>SUM(G28/(72*301))</f>
        <v>0.2025655223</v>
      </c>
      <c r="H29" s="69">
        <f t="shared" si="2"/>
        <v>0.002630121816</v>
      </c>
      <c r="I29" s="64">
        <f>SUM(I28/(72*301))</f>
        <v>0.2051956441</v>
      </c>
      <c r="J29" s="72" t="s">
        <v>49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4.75" customHeight="1">
      <c r="A30" s="61"/>
      <c r="B30" s="43" t="s">
        <v>71</v>
      </c>
      <c r="C30" s="79" t="s">
        <v>33</v>
      </c>
      <c r="D30" s="44" t="s">
        <v>66</v>
      </c>
      <c r="E30" s="80" t="s">
        <v>13</v>
      </c>
      <c r="F30" s="62">
        <f>SUM(1248/3612)</f>
        <v>0.3455149502</v>
      </c>
      <c r="G30" s="63">
        <f>SUM(1176/3612)</f>
        <v>0.3255813953</v>
      </c>
      <c r="H30" s="92">
        <f t="shared" si="2"/>
        <v>0</v>
      </c>
      <c r="I30" s="64">
        <f>SUM(1176/3612)</f>
        <v>0.3255813953</v>
      </c>
      <c r="J30" s="93" t="s">
        <v>49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4.75" customHeight="1">
      <c r="A31" s="94" t="s">
        <v>72</v>
      </c>
      <c r="B31" s="43" t="s">
        <v>73</v>
      </c>
      <c r="C31" s="35" t="s">
        <v>11</v>
      </c>
      <c r="D31" s="45" t="s">
        <v>74</v>
      </c>
      <c r="E31" s="80" t="s">
        <v>13</v>
      </c>
      <c r="F31" s="95"/>
      <c r="G31" s="96"/>
      <c r="H31" s="97"/>
      <c r="I31" s="98">
        <v>4420.0</v>
      </c>
      <c r="J31" s="99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4.75" customHeight="1">
      <c r="A32" s="100"/>
      <c r="B32" s="43" t="s">
        <v>75</v>
      </c>
      <c r="C32" s="35" t="s">
        <v>76</v>
      </c>
      <c r="D32" s="45" t="s">
        <v>77</v>
      </c>
      <c r="E32" s="80" t="s">
        <v>13</v>
      </c>
      <c r="F32" s="95"/>
      <c r="G32" s="96"/>
      <c r="H32" s="97"/>
      <c r="I32" s="98">
        <v>207.0</v>
      </c>
      <c r="J32" s="99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4.75" customHeight="1">
      <c r="A33" s="101"/>
      <c r="B33" s="43"/>
      <c r="C33" s="45"/>
      <c r="D33" s="45"/>
      <c r="E33" s="102"/>
      <c r="F33" s="95"/>
      <c r="G33" s="96"/>
      <c r="H33" s="97"/>
      <c r="I33" s="98"/>
      <c r="J33" s="99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4.75" customHeight="1">
      <c r="A34" s="75" t="s">
        <v>78</v>
      </c>
      <c r="B34" s="34" t="s">
        <v>79</v>
      </c>
      <c r="C34" s="103" t="s">
        <v>80</v>
      </c>
      <c r="D34" s="36" t="s">
        <v>81</v>
      </c>
      <c r="E34" s="102" t="s">
        <v>13</v>
      </c>
      <c r="F34" s="104">
        <v>100812.48</v>
      </c>
      <c r="G34" s="105">
        <v>115767.46</v>
      </c>
      <c r="H34" s="106">
        <f t="shared" ref="H34:H36" si="8">SUM(I34-G34)</f>
        <v>-30086.86</v>
      </c>
      <c r="I34" s="107">
        <v>85680.6</v>
      </c>
      <c r="J34" s="108" t="s">
        <v>82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4.75" customHeight="1">
      <c r="A35" s="77"/>
      <c r="B35" s="43" t="s">
        <v>83</v>
      </c>
      <c r="C35" s="109" t="s">
        <v>84</v>
      </c>
      <c r="D35" s="45" t="s">
        <v>85</v>
      </c>
      <c r="E35" s="44" t="s">
        <v>13</v>
      </c>
      <c r="F35" s="110">
        <v>1536.54</v>
      </c>
      <c r="G35" s="111">
        <v>9947.68</v>
      </c>
      <c r="H35" s="106">
        <f t="shared" si="8"/>
        <v>152030.32</v>
      </c>
      <c r="I35" s="112">
        <v>161978.0</v>
      </c>
      <c r="J35" s="113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4.75" customHeight="1">
      <c r="A36" s="114"/>
      <c r="B36" s="87" t="s">
        <v>86</v>
      </c>
      <c r="C36" s="115" t="s">
        <v>87</v>
      </c>
      <c r="D36" s="80" t="s">
        <v>88</v>
      </c>
      <c r="E36" s="53" t="s">
        <v>13</v>
      </c>
      <c r="F36" s="116">
        <v>580.0</v>
      </c>
      <c r="G36" s="117">
        <v>149492.27</v>
      </c>
      <c r="H36" s="106">
        <f t="shared" si="8"/>
        <v>-123719.34</v>
      </c>
      <c r="I36" s="118">
        <v>25772.93</v>
      </c>
      <c r="J36" s="119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7.75" customHeight="1">
      <c r="A37" s="33" t="s">
        <v>89</v>
      </c>
      <c r="B37" s="120" t="s">
        <v>90</v>
      </c>
      <c r="C37" s="103" t="s">
        <v>91</v>
      </c>
      <c r="D37" s="36" t="s">
        <v>92</v>
      </c>
      <c r="E37" s="121" t="s">
        <v>13</v>
      </c>
      <c r="F37" s="122">
        <v>6.51</v>
      </c>
      <c r="G37" s="123" t="s">
        <v>93</v>
      </c>
      <c r="H37" s="124" t="s">
        <v>94</v>
      </c>
      <c r="I37" s="125" t="s">
        <v>93</v>
      </c>
      <c r="J37" s="126" t="s">
        <v>95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7.75" customHeight="1">
      <c r="A38" s="42"/>
      <c r="B38" s="127" t="s">
        <v>96</v>
      </c>
      <c r="C38" s="128" t="s">
        <v>97</v>
      </c>
      <c r="D38" s="102" t="s">
        <v>98</v>
      </c>
      <c r="E38" s="102"/>
      <c r="F38" s="129">
        <v>0.032</v>
      </c>
      <c r="G38" s="123"/>
      <c r="H38" s="130"/>
      <c r="I38" s="125"/>
      <c r="J38" s="131" t="s">
        <v>99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3.0" customHeight="1">
      <c r="A39" s="51"/>
      <c r="B39" s="132" t="s">
        <v>100</v>
      </c>
      <c r="C39" s="133" t="s">
        <v>101</v>
      </c>
      <c r="D39" s="80" t="s">
        <v>102</v>
      </c>
      <c r="E39" s="53"/>
      <c r="F39" s="134" t="s">
        <v>103</v>
      </c>
      <c r="G39" s="135"/>
      <c r="H39" s="136"/>
      <c r="I39" s="137"/>
      <c r="J39" s="138" t="s">
        <v>104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1.5" customHeight="1">
      <c r="A40" s="139" t="s">
        <v>105</v>
      </c>
      <c r="B40" s="120" t="s">
        <v>106</v>
      </c>
      <c r="C40" s="103" t="s">
        <v>107</v>
      </c>
      <c r="D40" s="36" t="s">
        <v>108</v>
      </c>
      <c r="E40" s="121" t="s">
        <v>13</v>
      </c>
      <c r="F40" s="140">
        <v>0.1567</v>
      </c>
      <c r="G40" s="141">
        <v>0.1731</v>
      </c>
      <c r="H40" s="142">
        <f>-(-I40+G40)/G40</f>
        <v>-0.0566146736</v>
      </c>
      <c r="I40" s="143">
        <v>0.1633</v>
      </c>
      <c r="J40" s="144" t="s">
        <v>109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4.75" customHeight="1">
      <c r="A41" s="145"/>
      <c r="B41" s="146" t="s">
        <v>110</v>
      </c>
      <c r="C41" s="147" t="s">
        <v>111</v>
      </c>
      <c r="D41" s="45" t="s">
        <v>112</v>
      </c>
      <c r="E41" s="102"/>
      <c r="F41" s="148">
        <v>0.2927</v>
      </c>
      <c r="G41" s="149">
        <v>0.378</v>
      </c>
      <c r="H41" s="142">
        <f>-(-G41+F41)/F41</f>
        <v>0.2914246669</v>
      </c>
      <c r="I41" s="150">
        <v>0.3328</v>
      </c>
      <c r="J41" s="113" t="s">
        <v>109</v>
      </c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</row>
    <row r="42" ht="33.0" customHeight="1">
      <c r="A42" s="145"/>
      <c r="B42" s="146" t="s">
        <v>113</v>
      </c>
      <c r="C42" s="147" t="s">
        <v>114</v>
      </c>
      <c r="D42" s="44" t="s">
        <v>115</v>
      </c>
      <c r="E42" s="102"/>
      <c r="F42" s="148">
        <v>0.83</v>
      </c>
      <c r="G42" s="149">
        <v>0.847</v>
      </c>
      <c r="H42" s="142">
        <f>-(-I42+G42)/G42</f>
        <v>0.04982290437</v>
      </c>
      <c r="I42" s="150">
        <v>0.8892</v>
      </c>
      <c r="J42" s="113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1.5" customHeight="1">
      <c r="A43" s="152"/>
      <c r="B43" s="153" t="s">
        <v>116</v>
      </c>
      <c r="C43" s="154" t="s">
        <v>117</v>
      </c>
      <c r="D43" s="155" t="s">
        <v>118</v>
      </c>
      <c r="E43" s="155"/>
      <c r="F43" s="156">
        <v>320.0</v>
      </c>
      <c r="G43" s="157">
        <v>344.0</v>
      </c>
      <c r="H43" s="158" t="s">
        <v>119</v>
      </c>
      <c r="I43" s="159">
        <v>195.0</v>
      </c>
      <c r="J43" s="16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2.75" customHeight="1">
      <c r="A44" s="161"/>
      <c r="B44" s="162"/>
      <c r="C44" s="7"/>
      <c r="D44" s="163"/>
      <c r="E44" s="7"/>
      <c r="F44" s="161"/>
      <c r="G44" s="7"/>
      <c r="H44" s="7"/>
      <c r="I44" s="164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2.75" customHeight="1">
      <c r="A45" s="161"/>
      <c r="B45" s="162"/>
      <c r="C45" s="7"/>
      <c r="D45" s="161"/>
      <c r="E45" s="7"/>
      <c r="F45" s="161"/>
      <c r="G45" s="7"/>
      <c r="H45" s="7"/>
      <c r="I45" s="164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2.75" customHeight="1">
      <c r="A46" s="161"/>
      <c r="B46" s="162"/>
      <c r="C46" s="7"/>
      <c r="D46" s="161"/>
      <c r="E46" s="7"/>
      <c r="F46" s="161"/>
      <c r="G46" s="7"/>
      <c r="H46" s="7"/>
      <c r="I46" s="164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2.75" customHeight="1">
      <c r="A47" s="161"/>
      <c r="B47" s="162"/>
      <c r="C47" s="7"/>
      <c r="D47" s="161"/>
      <c r="E47" s="7"/>
      <c r="F47" s="161"/>
      <c r="G47" s="7"/>
      <c r="H47" s="7"/>
      <c r="I47" s="16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2.75" customHeight="1">
      <c r="A48" s="161"/>
      <c r="B48" s="162"/>
      <c r="C48" s="7"/>
      <c r="D48" s="161"/>
      <c r="E48" s="7"/>
      <c r="F48" s="161"/>
      <c r="G48" s="7"/>
      <c r="H48" s="7"/>
      <c r="I48" s="16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2.75" customHeight="1">
      <c r="A49" s="161"/>
      <c r="B49" s="162"/>
      <c r="C49" s="7"/>
      <c r="D49" s="161"/>
      <c r="E49" s="7"/>
      <c r="F49" s="161"/>
      <c r="G49" s="7"/>
      <c r="H49" s="7"/>
      <c r="I49" s="16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2.75" customHeight="1">
      <c r="A50" s="161"/>
      <c r="B50" s="162"/>
      <c r="C50" s="7"/>
      <c r="D50" s="161"/>
      <c r="E50" s="7"/>
      <c r="F50" s="161"/>
      <c r="G50" s="7"/>
      <c r="H50" s="7"/>
      <c r="I50" s="164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2.75" customHeight="1">
      <c r="A51" s="161"/>
      <c r="B51" s="162"/>
      <c r="C51" s="7"/>
      <c r="D51" s="161"/>
      <c r="E51" s="7"/>
      <c r="F51" s="161"/>
      <c r="G51" s="7"/>
      <c r="H51" s="7"/>
      <c r="I51" s="164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2.75" customHeight="1">
      <c r="A52" s="161"/>
      <c r="B52" s="162"/>
      <c r="C52" s="7"/>
      <c r="D52" s="161"/>
      <c r="E52" s="7"/>
      <c r="F52" s="161"/>
      <c r="G52" s="7"/>
      <c r="H52" s="7"/>
      <c r="I52" s="164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2.75" customHeight="1">
      <c r="A53" s="161"/>
      <c r="B53" s="162"/>
      <c r="C53" s="7"/>
      <c r="D53" s="161"/>
      <c r="E53" s="7"/>
      <c r="F53" s="161"/>
      <c r="G53" s="7"/>
      <c r="H53" s="7"/>
      <c r="I53" s="164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2.75" customHeight="1">
      <c r="A54" s="161"/>
      <c r="B54" s="162"/>
      <c r="C54" s="7"/>
      <c r="D54" s="161"/>
      <c r="E54" s="7"/>
      <c r="F54" s="161"/>
      <c r="G54" s="7"/>
      <c r="H54" s="7"/>
      <c r="I54" s="164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2.75" customHeight="1">
      <c r="A55" s="161"/>
      <c r="B55" s="162"/>
      <c r="C55" s="7"/>
      <c r="D55" s="161"/>
      <c r="E55" s="7"/>
      <c r="F55" s="161"/>
      <c r="G55" s="7"/>
      <c r="H55" s="7"/>
      <c r="I55" s="164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2.75" customHeight="1">
      <c r="A56" s="161"/>
      <c r="B56" s="162"/>
      <c r="C56" s="7"/>
      <c r="D56" s="161"/>
      <c r="E56" s="7"/>
      <c r="F56" s="161"/>
      <c r="G56" s="7"/>
      <c r="H56" s="7"/>
      <c r="I56" s="164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2.75" customHeight="1">
      <c r="A57" s="161"/>
      <c r="B57" s="162"/>
      <c r="C57" s="7"/>
      <c r="D57" s="161"/>
      <c r="E57" s="7"/>
      <c r="F57" s="161"/>
      <c r="G57" s="7"/>
      <c r="H57" s="7"/>
      <c r="I57" s="164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2.75" customHeight="1">
      <c r="A58" s="161"/>
      <c r="B58" s="162"/>
      <c r="C58" s="7"/>
      <c r="D58" s="161"/>
      <c r="E58" s="7"/>
      <c r="F58" s="161"/>
      <c r="G58" s="7"/>
      <c r="H58" s="7"/>
      <c r="I58" s="164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2.75" customHeight="1">
      <c r="A59" s="161"/>
      <c r="B59" s="162"/>
      <c r="C59" s="7"/>
      <c r="D59" s="161"/>
      <c r="E59" s="7"/>
      <c r="F59" s="161"/>
      <c r="G59" s="7"/>
      <c r="H59" s="7"/>
      <c r="I59" s="164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2.75" customHeight="1">
      <c r="A60" s="161"/>
      <c r="B60" s="162"/>
      <c r="C60" s="7"/>
      <c r="D60" s="161"/>
      <c r="E60" s="7"/>
      <c r="F60" s="161"/>
      <c r="G60" s="7"/>
      <c r="H60" s="7"/>
      <c r="I60" s="164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2.75" customHeight="1">
      <c r="A61" s="161"/>
      <c r="B61" s="162"/>
      <c r="C61" s="7"/>
      <c r="D61" s="161"/>
      <c r="E61" s="7"/>
      <c r="F61" s="161"/>
      <c r="G61" s="7"/>
      <c r="H61" s="7"/>
      <c r="I61" s="164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2.75" customHeight="1">
      <c r="A62" s="161"/>
      <c r="B62" s="162"/>
      <c r="C62" s="7"/>
      <c r="D62" s="161"/>
      <c r="E62" s="7"/>
      <c r="F62" s="161"/>
      <c r="G62" s="7"/>
      <c r="H62" s="7"/>
      <c r="I62" s="164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2.75" customHeight="1">
      <c r="A63" s="161"/>
      <c r="B63" s="162"/>
      <c r="C63" s="7"/>
      <c r="D63" s="161"/>
      <c r="E63" s="7"/>
      <c r="F63" s="161"/>
      <c r="G63" s="7"/>
      <c r="H63" s="7"/>
      <c r="I63" s="164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2.75" customHeight="1">
      <c r="A64" s="161"/>
      <c r="B64" s="162"/>
      <c r="C64" s="7"/>
      <c r="D64" s="161"/>
      <c r="E64" s="7"/>
      <c r="F64" s="161"/>
      <c r="G64" s="7"/>
      <c r="H64" s="7"/>
      <c r="I64" s="164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2.75" customHeight="1">
      <c r="A65" s="161"/>
      <c r="B65" s="162"/>
      <c r="C65" s="7"/>
      <c r="D65" s="161"/>
      <c r="E65" s="7"/>
      <c r="F65" s="161"/>
      <c r="G65" s="7"/>
      <c r="H65" s="7"/>
      <c r="I65" s="164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2.75" customHeight="1">
      <c r="A66" s="161"/>
      <c r="B66" s="162"/>
      <c r="C66" s="7"/>
      <c r="D66" s="161"/>
      <c r="E66" s="7"/>
      <c r="F66" s="161"/>
      <c r="G66" s="7"/>
      <c r="H66" s="7"/>
      <c r="I66" s="164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2.75" customHeight="1">
      <c r="A67" s="161"/>
      <c r="B67" s="162"/>
      <c r="C67" s="7"/>
      <c r="D67" s="161"/>
      <c r="E67" s="7"/>
      <c r="F67" s="161"/>
      <c r="G67" s="7"/>
      <c r="H67" s="7"/>
      <c r="I67" s="164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2.75" customHeight="1">
      <c r="A68" s="161"/>
      <c r="B68" s="162"/>
      <c r="C68" s="7"/>
      <c r="D68" s="161"/>
      <c r="E68" s="7"/>
      <c r="F68" s="161"/>
      <c r="G68" s="7"/>
      <c r="H68" s="7"/>
      <c r="I68" s="164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2.75" customHeight="1">
      <c r="A69" s="161"/>
      <c r="B69" s="162"/>
      <c r="C69" s="7"/>
      <c r="D69" s="161"/>
      <c r="E69" s="7"/>
      <c r="F69" s="161"/>
      <c r="G69" s="7"/>
      <c r="H69" s="7"/>
      <c r="I69" s="164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2.75" customHeight="1">
      <c r="A70" s="161"/>
      <c r="B70" s="162"/>
      <c r="C70" s="7"/>
      <c r="D70" s="161"/>
      <c r="E70" s="7"/>
      <c r="F70" s="161"/>
      <c r="G70" s="7"/>
      <c r="H70" s="7"/>
      <c r="I70" s="164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2.75" customHeight="1">
      <c r="A71" s="161"/>
      <c r="B71" s="162"/>
      <c r="C71" s="7"/>
      <c r="D71" s="161"/>
      <c r="E71" s="7"/>
      <c r="F71" s="161"/>
      <c r="G71" s="7"/>
      <c r="H71" s="7"/>
      <c r="I71" s="164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2.75" customHeight="1">
      <c r="A72" s="161"/>
      <c r="B72" s="162"/>
      <c r="C72" s="7"/>
      <c r="D72" s="161"/>
      <c r="E72" s="7"/>
      <c r="F72" s="161"/>
      <c r="G72" s="7"/>
      <c r="H72" s="7"/>
      <c r="I72" s="164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2.75" customHeight="1">
      <c r="A73" s="161"/>
      <c r="B73" s="162"/>
      <c r="C73" s="7"/>
      <c r="D73" s="161"/>
      <c r="E73" s="7"/>
      <c r="F73" s="161"/>
      <c r="G73" s="7"/>
      <c r="H73" s="7"/>
      <c r="I73" s="164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2.75" customHeight="1">
      <c r="A74" s="161"/>
      <c r="B74" s="162"/>
      <c r="C74" s="7"/>
      <c r="D74" s="161"/>
      <c r="E74" s="7"/>
      <c r="F74" s="161"/>
      <c r="G74" s="7"/>
      <c r="H74" s="7"/>
      <c r="I74" s="164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2.75" customHeight="1">
      <c r="A75" s="161"/>
      <c r="B75" s="162"/>
      <c r="C75" s="7"/>
      <c r="D75" s="161"/>
      <c r="E75" s="7"/>
      <c r="F75" s="161"/>
      <c r="G75" s="7"/>
      <c r="H75" s="7"/>
      <c r="I75" s="164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2.75" customHeight="1">
      <c r="A76" s="161"/>
      <c r="B76" s="162"/>
      <c r="C76" s="7"/>
      <c r="D76" s="161"/>
      <c r="E76" s="7"/>
      <c r="F76" s="161"/>
      <c r="G76" s="7"/>
      <c r="H76" s="7"/>
      <c r="I76" s="164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2.75" customHeight="1">
      <c r="A77" s="161"/>
      <c r="B77" s="162"/>
      <c r="C77" s="7"/>
      <c r="D77" s="161"/>
      <c r="E77" s="7"/>
      <c r="F77" s="161"/>
      <c r="G77" s="7"/>
      <c r="H77" s="7"/>
      <c r="I77" s="164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2.75" customHeight="1">
      <c r="A78" s="161"/>
      <c r="B78" s="162"/>
      <c r="C78" s="7"/>
      <c r="D78" s="161"/>
      <c r="E78" s="7"/>
      <c r="F78" s="161"/>
      <c r="G78" s="7"/>
      <c r="H78" s="7"/>
      <c r="I78" s="164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2.75" customHeight="1">
      <c r="A79" s="161"/>
      <c r="B79" s="162"/>
      <c r="C79" s="7"/>
      <c r="D79" s="161"/>
      <c r="E79" s="7"/>
      <c r="F79" s="161"/>
      <c r="G79" s="7"/>
      <c r="H79" s="7"/>
      <c r="I79" s="164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2.75" customHeight="1">
      <c r="A80" s="161"/>
      <c r="B80" s="162"/>
      <c r="C80" s="7"/>
      <c r="D80" s="161"/>
      <c r="E80" s="7"/>
      <c r="F80" s="161"/>
      <c r="G80" s="7"/>
      <c r="H80" s="7"/>
      <c r="I80" s="164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2.75" customHeight="1">
      <c r="A81" s="161"/>
      <c r="B81" s="162"/>
      <c r="C81" s="7"/>
      <c r="D81" s="161"/>
      <c r="E81" s="7"/>
      <c r="F81" s="161"/>
      <c r="G81" s="7"/>
      <c r="H81" s="7"/>
      <c r="I81" s="164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2.75" customHeight="1">
      <c r="A82" s="161"/>
      <c r="B82" s="162"/>
      <c r="C82" s="7"/>
      <c r="D82" s="161"/>
      <c r="E82" s="7"/>
      <c r="F82" s="161"/>
      <c r="G82" s="7"/>
      <c r="H82" s="7"/>
      <c r="I82" s="164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2.75" customHeight="1">
      <c r="A83" s="161"/>
      <c r="B83" s="162"/>
      <c r="C83" s="7"/>
      <c r="D83" s="161"/>
      <c r="E83" s="7"/>
      <c r="F83" s="161"/>
      <c r="G83" s="7"/>
      <c r="H83" s="7"/>
      <c r="I83" s="164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2.75" customHeight="1">
      <c r="A84" s="161"/>
      <c r="B84" s="162"/>
      <c r="C84" s="7"/>
      <c r="D84" s="161"/>
      <c r="E84" s="7"/>
      <c r="F84" s="161"/>
      <c r="G84" s="7"/>
      <c r="H84" s="7"/>
      <c r="I84" s="164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2.75" customHeight="1">
      <c r="A85" s="161"/>
      <c r="B85" s="162"/>
      <c r="C85" s="7"/>
      <c r="D85" s="161"/>
      <c r="E85" s="7"/>
      <c r="F85" s="161"/>
      <c r="G85" s="7"/>
      <c r="H85" s="7"/>
      <c r="I85" s="164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2.75" customHeight="1">
      <c r="A86" s="161"/>
      <c r="B86" s="162"/>
      <c r="C86" s="7"/>
      <c r="D86" s="161"/>
      <c r="E86" s="7"/>
      <c r="F86" s="161"/>
      <c r="G86" s="7"/>
      <c r="H86" s="7"/>
      <c r="I86" s="164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2.75" customHeight="1">
      <c r="A87" s="161"/>
      <c r="B87" s="162"/>
      <c r="C87" s="7"/>
      <c r="D87" s="161"/>
      <c r="E87" s="7"/>
      <c r="F87" s="161"/>
      <c r="G87" s="7"/>
      <c r="H87" s="7"/>
      <c r="I87" s="164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2.75" customHeight="1">
      <c r="A88" s="161"/>
      <c r="B88" s="162"/>
      <c r="C88" s="7"/>
      <c r="D88" s="161"/>
      <c r="E88" s="7"/>
      <c r="F88" s="161"/>
      <c r="G88" s="7"/>
      <c r="H88" s="7"/>
      <c r="I88" s="164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2.75" customHeight="1">
      <c r="A89" s="161"/>
      <c r="B89" s="162"/>
      <c r="C89" s="7"/>
      <c r="D89" s="161"/>
      <c r="E89" s="7"/>
      <c r="F89" s="161"/>
      <c r="G89" s="7"/>
      <c r="H89" s="7"/>
      <c r="I89" s="164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2.75" customHeight="1">
      <c r="A90" s="161"/>
      <c r="B90" s="162"/>
      <c r="C90" s="7"/>
      <c r="D90" s="161"/>
      <c r="E90" s="7"/>
      <c r="F90" s="161"/>
      <c r="G90" s="7"/>
      <c r="H90" s="7"/>
      <c r="I90" s="164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2.75" customHeight="1">
      <c r="A91" s="161"/>
      <c r="B91" s="162"/>
      <c r="C91" s="7"/>
      <c r="D91" s="161"/>
      <c r="E91" s="7"/>
      <c r="F91" s="161"/>
      <c r="G91" s="7"/>
      <c r="H91" s="7"/>
      <c r="I91" s="164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2.75" customHeight="1">
      <c r="A92" s="161"/>
      <c r="B92" s="162"/>
      <c r="C92" s="7"/>
      <c r="D92" s="161"/>
      <c r="E92" s="7"/>
      <c r="F92" s="161"/>
      <c r="G92" s="7"/>
      <c r="H92" s="7"/>
      <c r="I92" s="164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2.75" customHeight="1">
      <c r="A93" s="161"/>
      <c r="B93" s="162"/>
      <c r="C93" s="7"/>
      <c r="D93" s="161"/>
      <c r="E93" s="7"/>
      <c r="F93" s="161"/>
      <c r="G93" s="7"/>
      <c r="H93" s="7"/>
      <c r="I93" s="164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75" customHeight="1">
      <c r="A94" s="161"/>
      <c r="B94" s="162"/>
      <c r="C94" s="7"/>
      <c r="D94" s="161"/>
      <c r="E94" s="7"/>
      <c r="F94" s="161"/>
      <c r="G94" s="7"/>
      <c r="H94" s="7"/>
      <c r="I94" s="164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2.75" customHeight="1">
      <c r="A95" s="161"/>
      <c r="B95" s="162"/>
      <c r="C95" s="7"/>
      <c r="D95" s="161"/>
      <c r="E95" s="7"/>
      <c r="F95" s="161"/>
      <c r="G95" s="7"/>
      <c r="H95" s="7"/>
      <c r="I95" s="164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2.75" customHeight="1">
      <c r="A96" s="161"/>
      <c r="B96" s="162"/>
      <c r="C96" s="7"/>
      <c r="D96" s="161"/>
      <c r="E96" s="7"/>
      <c r="F96" s="161"/>
      <c r="G96" s="7"/>
      <c r="H96" s="7"/>
      <c r="I96" s="164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75" customHeight="1">
      <c r="A97" s="161"/>
      <c r="B97" s="162"/>
      <c r="C97" s="7"/>
      <c r="D97" s="161"/>
      <c r="E97" s="7"/>
      <c r="F97" s="161"/>
      <c r="G97" s="7"/>
      <c r="H97" s="7"/>
      <c r="I97" s="164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2.75" customHeight="1">
      <c r="A98" s="161"/>
      <c r="B98" s="162"/>
      <c r="C98" s="7"/>
      <c r="D98" s="161"/>
      <c r="E98" s="7"/>
      <c r="F98" s="161"/>
      <c r="G98" s="7"/>
      <c r="H98" s="7"/>
      <c r="I98" s="164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2.75" customHeight="1">
      <c r="A99" s="161"/>
      <c r="B99" s="162"/>
      <c r="C99" s="7"/>
      <c r="D99" s="161"/>
      <c r="E99" s="7"/>
      <c r="F99" s="161"/>
      <c r="G99" s="7"/>
      <c r="H99" s="7"/>
      <c r="I99" s="164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2.75" customHeight="1">
      <c r="A100" s="161"/>
      <c r="B100" s="162"/>
      <c r="C100" s="7"/>
      <c r="D100" s="161"/>
      <c r="E100" s="7"/>
      <c r="F100" s="161"/>
      <c r="G100" s="7"/>
      <c r="H100" s="7"/>
      <c r="I100" s="164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2.75" customHeight="1">
      <c r="A101" s="161"/>
      <c r="B101" s="162"/>
      <c r="C101" s="7"/>
      <c r="D101" s="161"/>
      <c r="E101" s="7"/>
      <c r="F101" s="161"/>
      <c r="G101" s="7"/>
      <c r="H101" s="7"/>
      <c r="I101" s="164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2.75" customHeight="1">
      <c r="A102" s="161"/>
      <c r="B102" s="162"/>
      <c r="C102" s="7"/>
      <c r="D102" s="161"/>
      <c r="E102" s="7"/>
      <c r="F102" s="161"/>
      <c r="G102" s="7"/>
      <c r="H102" s="7"/>
      <c r="I102" s="164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2.75" customHeight="1">
      <c r="A103" s="161"/>
      <c r="B103" s="162"/>
      <c r="C103" s="7"/>
      <c r="D103" s="161"/>
      <c r="E103" s="7"/>
      <c r="F103" s="161"/>
      <c r="G103" s="7"/>
      <c r="H103" s="7"/>
      <c r="I103" s="164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2.75" customHeight="1">
      <c r="A104" s="161"/>
      <c r="B104" s="162"/>
      <c r="C104" s="7"/>
      <c r="D104" s="161"/>
      <c r="E104" s="7"/>
      <c r="F104" s="161"/>
      <c r="G104" s="7"/>
      <c r="H104" s="7"/>
      <c r="I104" s="164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2.75" customHeight="1">
      <c r="A105" s="161"/>
      <c r="B105" s="162"/>
      <c r="C105" s="7"/>
      <c r="D105" s="161"/>
      <c r="E105" s="7"/>
      <c r="F105" s="161"/>
      <c r="G105" s="7"/>
      <c r="H105" s="7"/>
      <c r="I105" s="164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2.75" customHeight="1">
      <c r="A106" s="161"/>
      <c r="B106" s="162"/>
      <c r="C106" s="7"/>
      <c r="D106" s="161"/>
      <c r="E106" s="7"/>
      <c r="F106" s="161"/>
      <c r="G106" s="7"/>
      <c r="H106" s="7"/>
      <c r="I106" s="164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2.75" customHeight="1">
      <c r="A107" s="161"/>
      <c r="B107" s="162"/>
      <c r="C107" s="7"/>
      <c r="D107" s="161"/>
      <c r="E107" s="7"/>
      <c r="F107" s="161"/>
      <c r="G107" s="7"/>
      <c r="H107" s="7"/>
      <c r="I107" s="164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2.75" customHeight="1">
      <c r="A108" s="161"/>
      <c r="B108" s="162"/>
      <c r="C108" s="7"/>
      <c r="D108" s="161"/>
      <c r="E108" s="7"/>
      <c r="F108" s="161"/>
      <c r="G108" s="7"/>
      <c r="H108" s="7"/>
      <c r="I108" s="164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75" customHeight="1">
      <c r="A109" s="161"/>
      <c r="B109" s="162"/>
      <c r="C109" s="7"/>
      <c r="D109" s="161"/>
      <c r="E109" s="7"/>
      <c r="F109" s="161"/>
      <c r="G109" s="7"/>
      <c r="H109" s="7"/>
      <c r="I109" s="164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2.75" customHeight="1">
      <c r="A110" s="161"/>
      <c r="B110" s="162"/>
      <c r="C110" s="7"/>
      <c r="D110" s="161"/>
      <c r="E110" s="7"/>
      <c r="F110" s="161"/>
      <c r="G110" s="7"/>
      <c r="H110" s="7"/>
      <c r="I110" s="164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2.75" customHeight="1">
      <c r="A111" s="161"/>
      <c r="B111" s="162"/>
      <c r="C111" s="7"/>
      <c r="D111" s="161"/>
      <c r="E111" s="7"/>
      <c r="F111" s="161"/>
      <c r="G111" s="7"/>
      <c r="H111" s="7"/>
      <c r="I111" s="164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2.75" customHeight="1">
      <c r="A112" s="161"/>
      <c r="B112" s="162"/>
      <c r="C112" s="7"/>
      <c r="D112" s="161"/>
      <c r="E112" s="7"/>
      <c r="F112" s="161"/>
      <c r="G112" s="7"/>
      <c r="H112" s="7"/>
      <c r="I112" s="164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75" customHeight="1">
      <c r="A113" s="161"/>
      <c r="B113" s="162"/>
      <c r="C113" s="7"/>
      <c r="D113" s="161"/>
      <c r="E113" s="7"/>
      <c r="F113" s="161"/>
      <c r="G113" s="7"/>
      <c r="H113" s="7"/>
      <c r="I113" s="164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2.75" customHeight="1">
      <c r="A114" s="161"/>
      <c r="B114" s="162"/>
      <c r="C114" s="7"/>
      <c r="D114" s="161"/>
      <c r="E114" s="7"/>
      <c r="F114" s="161"/>
      <c r="G114" s="7"/>
      <c r="H114" s="7"/>
      <c r="I114" s="164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2.75" customHeight="1">
      <c r="A115" s="161"/>
      <c r="B115" s="162"/>
      <c r="C115" s="7"/>
      <c r="D115" s="161"/>
      <c r="E115" s="7"/>
      <c r="F115" s="161"/>
      <c r="G115" s="7"/>
      <c r="H115" s="7"/>
      <c r="I115" s="164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2.75" customHeight="1">
      <c r="A116" s="161"/>
      <c r="B116" s="162"/>
      <c r="C116" s="7"/>
      <c r="D116" s="161"/>
      <c r="E116" s="7"/>
      <c r="F116" s="161"/>
      <c r="G116" s="7"/>
      <c r="H116" s="7"/>
      <c r="I116" s="164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2.75" customHeight="1">
      <c r="A117" s="161"/>
      <c r="B117" s="162"/>
      <c r="C117" s="7"/>
      <c r="D117" s="161"/>
      <c r="E117" s="7"/>
      <c r="F117" s="161"/>
      <c r="G117" s="7"/>
      <c r="H117" s="7"/>
      <c r="I117" s="164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2.75" customHeight="1">
      <c r="A118" s="161"/>
      <c r="B118" s="162"/>
      <c r="C118" s="7"/>
      <c r="D118" s="161"/>
      <c r="E118" s="7"/>
      <c r="F118" s="161"/>
      <c r="G118" s="7"/>
      <c r="H118" s="7"/>
      <c r="I118" s="164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2.75" customHeight="1">
      <c r="A119" s="161"/>
      <c r="B119" s="162"/>
      <c r="C119" s="7"/>
      <c r="D119" s="161"/>
      <c r="E119" s="7"/>
      <c r="F119" s="161"/>
      <c r="G119" s="7"/>
      <c r="H119" s="7"/>
      <c r="I119" s="164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2.75" customHeight="1">
      <c r="A120" s="161"/>
      <c r="B120" s="162"/>
      <c r="C120" s="7"/>
      <c r="D120" s="161"/>
      <c r="E120" s="7"/>
      <c r="F120" s="161"/>
      <c r="G120" s="7"/>
      <c r="H120" s="7"/>
      <c r="I120" s="164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75" customHeight="1">
      <c r="A121" s="161"/>
      <c r="B121" s="162"/>
      <c r="C121" s="7"/>
      <c r="D121" s="161"/>
      <c r="E121" s="7"/>
      <c r="F121" s="161"/>
      <c r="G121" s="7"/>
      <c r="H121" s="7"/>
      <c r="I121" s="164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2.75" customHeight="1">
      <c r="A122" s="161"/>
      <c r="B122" s="162"/>
      <c r="C122" s="7"/>
      <c r="D122" s="161"/>
      <c r="E122" s="7"/>
      <c r="F122" s="161"/>
      <c r="G122" s="7"/>
      <c r="H122" s="7"/>
      <c r="I122" s="164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2.75" customHeight="1">
      <c r="A123" s="161"/>
      <c r="B123" s="162"/>
      <c r="C123" s="7"/>
      <c r="D123" s="161"/>
      <c r="E123" s="7"/>
      <c r="F123" s="161"/>
      <c r="G123" s="7"/>
      <c r="H123" s="7"/>
      <c r="I123" s="164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2.75" customHeight="1">
      <c r="A124" s="161"/>
      <c r="B124" s="162"/>
      <c r="C124" s="7"/>
      <c r="D124" s="161"/>
      <c r="E124" s="7"/>
      <c r="F124" s="161"/>
      <c r="G124" s="7"/>
      <c r="H124" s="7"/>
      <c r="I124" s="164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2.75" customHeight="1">
      <c r="A125" s="161"/>
      <c r="B125" s="162"/>
      <c r="C125" s="7"/>
      <c r="D125" s="161"/>
      <c r="E125" s="7"/>
      <c r="F125" s="161"/>
      <c r="G125" s="7"/>
      <c r="H125" s="7"/>
      <c r="I125" s="164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2.75" customHeight="1">
      <c r="A126" s="161"/>
      <c r="B126" s="162"/>
      <c r="C126" s="7"/>
      <c r="D126" s="161"/>
      <c r="E126" s="7"/>
      <c r="F126" s="161"/>
      <c r="G126" s="7"/>
      <c r="H126" s="7"/>
      <c r="I126" s="164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2.75" customHeight="1">
      <c r="A127" s="161"/>
      <c r="B127" s="162"/>
      <c r="C127" s="7"/>
      <c r="D127" s="161"/>
      <c r="E127" s="7"/>
      <c r="F127" s="161"/>
      <c r="G127" s="7"/>
      <c r="H127" s="7"/>
      <c r="I127" s="164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2.75" customHeight="1">
      <c r="A128" s="161"/>
      <c r="B128" s="162"/>
      <c r="C128" s="7"/>
      <c r="D128" s="161"/>
      <c r="E128" s="7"/>
      <c r="F128" s="161"/>
      <c r="G128" s="7"/>
      <c r="H128" s="7"/>
      <c r="I128" s="164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2.75" customHeight="1">
      <c r="A129" s="161"/>
      <c r="B129" s="162"/>
      <c r="C129" s="7"/>
      <c r="D129" s="161"/>
      <c r="E129" s="7"/>
      <c r="F129" s="161"/>
      <c r="G129" s="7"/>
      <c r="H129" s="7"/>
      <c r="I129" s="164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2.75" customHeight="1">
      <c r="A130" s="161"/>
      <c r="B130" s="162"/>
      <c r="C130" s="7"/>
      <c r="D130" s="161"/>
      <c r="E130" s="7"/>
      <c r="F130" s="161"/>
      <c r="G130" s="7"/>
      <c r="H130" s="7"/>
      <c r="I130" s="164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2.75" customHeight="1">
      <c r="A131" s="161"/>
      <c r="B131" s="162"/>
      <c r="C131" s="7"/>
      <c r="D131" s="161"/>
      <c r="E131" s="7"/>
      <c r="F131" s="161"/>
      <c r="G131" s="7"/>
      <c r="H131" s="7"/>
      <c r="I131" s="164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2.75" customHeight="1">
      <c r="A132" s="161"/>
      <c r="B132" s="162"/>
      <c r="C132" s="7"/>
      <c r="D132" s="161"/>
      <c r="E132" s="7"/>
      <c r="F132" s="161"/>
      <c r="G132" s="7"/>
      <c r="H132" s="7"/>
      <c r="I132" s="164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2.75" customHeight="1">
      <c r="A133" s="161"/>
      <c r="B133" s="162"/>
      <c r="C133" s="7"/>
      <c r="D133" s="161"/>
      <c r="E133" s="7"/>
      <c r="F133" s="161"/>
      <c r="G133" s="7"/>
      <c r="H133" s="7"/>
      <c r="I133" s="164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2.75" customHeight="1">
      <c r="A134" s="161"/>
      <c r="B134" s="162"/>
      <c r="C134" s="7"/>
      <c r="D134" s="161"/>
      <c r="E134" s="7"/>
      <c r="F134" s="161"/>
      <c r="G134" s="7"/>
      <c r="H134" s="7"/>
      <c r="I134" s="164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2.75" customHeight="1">
      <c r="A135" s="161"/>
      <c r="B135" s="162"/>
      <c r="C135" s="7"/>
      <c r="D135" s="161"/>
      <c r="E135" s="7"/>
      <c r="F135" s="161"/>
      <c r="G135" s="7"/>
      <c r="H135" s="7"/>
      <c r="I135" s="164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2.75" customHeight="1">
      <c r="A136" s="161"/>
      <c r="B136" s="162"/>
      <c r="C136" s="7"/>
      <c r="D136" s="161"/>
      <c r="E136" s="7"/>
      <c r="F136" s="161"/>
      <c r="G136" s="7"/>
      <c r="H136" s="7"/>
      <c r="I136" s="164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2.75" customHeight="1">
      <c r="A137" s="161"/>
      <c r="B137" s="162"/>
      <c r="C137" s="7"/>
      <c r="D137" s="161"/>
      <c r="E137" s="7"/>
      <c r="F137" s="161"/>
      <c r="G137" s="7"/>
      <c r="H137" s="7"/>
      <c r="I137" s="164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2.75" customHeight="1">
      <c r="A138" s="161"/>
      <c r="B138" s="162"/>
      <c r="C138" s="7"/>
      <c r="D138" s="161"/>
      <c r="E138" s="7"/>
      <c r="F138" s="161"/>
      <c r="G138" s="7"/>
      <c r="H138" s="7"/>
      <c r="I138" s="164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2.75" customHeight="1">
      <c r="A139" s="161"/>
      <c r="B139" s="162"/>
      <c r="C139" s="7"/>
      <c r="D139" s="161"/>
      <c r="E139" s="7"/>
      <c r="F139" s="161"/>
      <c r="G139" s="7"/>
      <c r="H139" s="7"/>
      <c r="I139" s="164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2.75" customHeight="1">
      <c r="A140" s="161"/>
      <c r="B140" s="162"/>
      <c r="C140" s="7"/>
      <c r="D140" s="161"/>
      <c r="E140" s="7"/>
      <c r="F140" s="161"/>
      <c r="G140" s="7"/>
      <c r="H140" s="7"/>
      <c r="I140" s="164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2.75" customHeight="1">
      <c r="A141" s="161"/>
      <c r="B141" s="162"/>
      <c r="C141" s="7"/>
      <c r="D141" s="161"/>
      <c r="E141" s="7"/>
      <c r="F141" s="161"/>
      <c r="G141" s="7"/>
      <c r="H141" s="7"/>
      <c r="I141" s="164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2.75" customHeight="1">
      <c r="A142" s="161"/>
      <c r="B142" s="162"/>
      <c r="C142" s="7"/>
      <c r="D142" s="161"/>
      <c r="E142" s="7"/>
      <c r="F142" s="161"/>
      <c r="G142" s="7"/>
      <c r="H142" s="7"/>
      <c r="I142" s="164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2.75" customHeight="1">
      <c r="A143" s="161"/>
      <c r="B143" s="162"/>
      <c r="C143" s="7"/>
      <c r="D143" s="161"/>
      <c r="E143" s="7"/>
      <c r="F143" s="161"/>
      <c r="G143" s="7"/>
      <c r="H143" s="7"/>
      <c r="I143" s="164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2.75" customHeight="1">
      <c r="A144" s="161"/>
      <c r="B144" s="162"/>
      <c r="C144" s="7"/>
      <c r="D144" s="161"/>
      <c r="E144" s="7"/>
      <c r="F144" s="161"/>
      <c r="G144" s="7"/>
      <c r="H144" s="7"/>
      <c r="I144" s="164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2.75" customHeight="1">
      <c r="A145" s="161"/>
      <c r="B145" s="162"/>
      <c r="C145" s="7"/>
      <c r="D145" s="161"/>
      <c r="E145" s="7"/>
      <c r="F145" s="161"/>
      <c r="G145" s="7"/>
      <c r="H145" s="7"/>
      <c r="I145" s="164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2.75" customHeight="1">
      <c r="A146" s="161"/>
      <c r="B146" s="162"/>
      <c r="C146" s="7"/>
      <c r="D146" s="161"/>
      <c r="E146" s="7"/>
      <c r="F146" s="161"/>
      <c r="G146" s="7"/>
      <c r="H146" s="7"/>
      <c r="I146" s="164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2.75" customHeight="1">
      <c r="A147" s="161"/>
      <c r="B147" s="162"/>
      <c r="C147" s="7"/>
      <c r="D147" s="161"/>
      <c r="E147" s="7"/>
      <c r="F147" s="161"/>
      <c r="G147" s="7"/>
      <c r="H147" s="7"/>
      <c r="I147" s="164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2.75" customHeight="1">
      <c r="A148" s="161"/>
      <c r="B148" s="162"/>
      <c r="C148" s="7"/>
      <c r="D148" s="161"/>
      <c r="E148" s="7"/>
      <c r="F148" s="161"/>
      <c r="G148" s="7"/>
      <c r="H148" s="7"/>
      <c r="I148" s="164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2.75" customHeight="1">
      <c r="A149" s="161"/>
      <c r="B149" s="162"/>
      <c r="C149" s="7"/>
      <c r="D149" s="161"/>
      <c r="E149" s="7"/>
      <c r="F149" s="161"/>
      <c r="G149" s="7"/>
      <c r="H149" s="7"/>
      <c r="I149" s="164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2.75" customHeight="1">
      <c r="A150" s="161"/>
      <c r="B150" s="162"/>
      <c r="C150" s="7"/>
      <c r="D150" s="161"/>
      <c r="E150" s="7"/>
      <c r="F150" s="161"/>
      <c r="G150" s="7"/>
      <c r="H150" s="7"/>
      <c r="I150" s="164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2.75" customHeight="1">
      <c r="A151" s="161"/>
      <c r="B151" s="162"/>
      <c r="C151" s="7"/>
      <c r="D151" s="161"/>
      <c r="E151" s="7"/>
      <c r="F151" s="161"/>
      <c r="G151" s="7"/>
      <c r="H151" s="7"/>
      <c r="I151" s="164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2.75" customHeight="1">
      <c r="A152" s="161"/>
      <c r="B152" s="162"/>
      <c r="C152" s="7"/>
      <c r="D152" s="161"/>
      <c r="E152" s="7"/>
      <c r="F152" s="161"/>
      <c r="G152" s="7"/>
      <c r="H152" s="7"/>
      <c r="I152" s="164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2.75" customHeight="1">
      <c r="A153" s="161"/>
      <c r="B153" s="162"/>
      <c r="C153" s="7"/>
      <c r="D153" s="161"/>
      <c r="E153" s="7"/>
      <c r="F153" s="161"/>
      <c r="G153" s="7"/>
      <c r="H153" s="7"/>
      <c r="I153" s="164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2.75" customHeight="1">
      <c r="A154" s="161"/>
      <c r="B154" s="162"/>
      <c r="C154" s="7"/>
      <c r="D154" s="161"/>
      <c r="E154" s="7"/>
      <c r="F154" s="161"/>
      <c r="G154" s="7"/>
      <c r="H154" s="7"/>
      <c r="I154" s="164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2.75" customHeight="1">
      <c r="A155" s="161"/>
      <c r="B155" s="162"/>
      <c r="C155" s="7"/>
      <c r="D155" s="161"/>
      <c r="E155" s="7"/>
      <c r="F155" s="161"/>
      <c r="G155" s="7"/>
      <c r="H155" s="7"/>
      <c r="I155" s="164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2.75" customHeight="1">
      <c r="A156" s="161"/>
      <c r="B156" s="162"/>
      <c r="C156" s="7"/>
      <c r="D156" s="161"/>
      <c r="E156" s="7"/>
      <c r="F156" s="161"/>
      <c r="G156" s="7"/>
      <c r="H156" s="7"/>
      <c r="I156" s="164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2.75" customHeight="1">
      <c r="A157" s="161"/>
      <c r="B157" s="162"/>
      <c r="C157" s="7"/>
      <c r="D157" s="161"/>
      <c r="E157" s="7"/>
      <c r="F157" s="161"/>
      <c r="G157" s="7"/>
      <c r="H157" s="7"/>
      <c r="I157" s="164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2.75" customHeight="1">
      <c r="A158" s="161"/>
      <c r="B158" s="162"/>
      <c r="C158" s="7"/>
      <c r="D158" s="161"/>
      <c r="E158" s="7"/>
      <c r="F158" s="161"/>
      <c r="G158" s="7"/>
      <c r="H158" s="7"/>
      <c r="I158" s="164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2.75" customHeight="1">
      <c r="A159" s="161"/>
      <c r="B159" s="162"/>
      <c r="C159" s="7"/>
      <c r="D159" s="161"/>
      <c r="E159" s="7"/>
      <c r="F159" s="161"/>
      <c r="G159" s="7"/>
      <c r="H159" s="7"/>
      <c r="I159" s="164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2.75" customHeight="1">
      <c r="A160" s="161"/>
      <c r="B160" s="162"/>
      <c r="C160" s="7"/>
      <c r="D160" s="161"/>
      <c r="E160" s="7"/>
      <c r="F160" s="161"/>
      <c r="G160" s="7"/>
      <c r="H160" s="7"/>
      <c r="I160" s="164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2.75" customHeight="1">
      <c r="A161" s="161"/>
      <c r="B161" s="162"/>
      <c r="C161" s="7"/>
      <c r="D161" s="161"/>
      <c r="E161" s="7"/>
      <c r="F161" s="161"/>
      <c r="G161" s="7"/>
      <c r="H161" s="7"/>
      <c r="I161" s="164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2.75" customHeight="1">
      <c r="A162" s="161"/>
      <c r="B162" s="162"/>
      <c r="C162" s="7"/>
      <c r="D162" s="161"/>
      <c r="E162" s="7"/>
      <c r="F162" s="161"/>
      <c r="G162" s="7"/>
      <c r="H162" s="7"/>
      <c r="I162" s="164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2.75" customHeight="1">
      <c r="A163" s="161"/>
      <c r="B163" s="162"/>
      <c r="C163" s="7"/>
      <c r="D163" s="161"/>
      <c r="E163" s="7"/>
      <c r="F163" s="161"/>
      <c r="G163" s="7"/>
      <c r="H163" s="7"/>
      <c r="I163" s="164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2.75" customHeight="1">
      <c r="A164" s="161"/>
      <c r="B164" s="162"/>
      <c r="C164" s="7"/>
      <c r="D164" s="161"/>
      <c r="E164" s="7"/>
      <c r="F164" s="161"/>
      <c r="G164" s="7"/>
      <c r="H164" s="7"/>
      <c r="I164" s="164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2.75" customHeight="1">
      <c r="A165" s="161"/>
      <c r="B165" s="162"/>
      <c r="C165" s="7"/>
      <c r="D165" s="161"/>
      <c r="E165" s="7"/>
      <c r="F165" s="161"/>
      <c r="G165" s="7"/>
      <c r="H165" s="7"/>
      <c r="I165" s="164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2.75" customHeight="1">
      <c r="A166" s="161"/>
      <c r="B166" s="162"/>
      <c r="C166" s="7"/>
      <c r="D166" s="161"/>
      <c r="E166" s="7"/>
      <c r="F166" s="161"/>
      <c r="G166" s="7"/>
      <c r="H166" s="7"/>
      <c r="I166" s="164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2.75" customHeight="1">
      <c r="A167" s="161"/>
      <c r="B167" s="162"/>
      <c r="C167" s="7"/>
      <c r="D167" s="161"/>
      <c r="E167" s="7"/>
      <c r="F167" s="161"/>
      <c r="G167" s="7"/>
      <c r="H167" s="7"/>
      <c r="I167" s="164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2.75" customHeight="1">
      <c r="A168" s="161"/>
      <c r="B168" s="162"/>
      <c r="C168" s="7"/>
      <c r="D168" s="161"/>
      <c r="E168" s="7"/>
      <c r="F168" s="161"/>
      <c r="G168" s="7"/>
      <c r="H168" s="7"/>
      <c r="I168" s="164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2.75" customHeight="1">
      <c r="A169" s="161"/>
      <c r="B169" s="162"/>
      <c r="C169" s="7"/>
      <c r="D169" s="161"/>
      <c r="E169" s="7"/>
      <c r="F169" s="161"/>
      <c r="G169" s="7"/>
      <c r="H169" s="7"/>
      <c r="I169" s="164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2.75" customHeight="1">
      <c r="A170" s="161"/>
      <c r="B170" s="162"/>
      <c r="C170" s="7"/>
      <c r="D170" s="161"/>
      <c r="E170" s="7"/>
      <c r="F170" s="161"/>
      <c r="G170" s="7"/>
      <c r="H170" s="7"/>
      <c r="I170" s="164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2.75" customHeight="1">
      <c r="A171" s="161"/>
      <c r="B171" s="162"/>
      <c r="C171" s="7"/>
      <c r="D171" s="161"/>
      <c r="E171" s="7"/>
      <c r="F171" s="161"/>
      <c r="G171" s="7"/>
      <c r="H171" s="7"/>
      <c r="I171" s="164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2.75" customHeight="1">
      <c r="A172" s="161"/>
      <c r="B172" s="162"/>
      <c r="C172" s="7"/>
      <c r="D172" s="161"/>
      <c r="E172" s="7"/>
      <c r="F172" s="161"/>
      <c r="G172" s="7"/>
      <c r="H172" s="7"/>
      <c r="I172" s="164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2.75" customHeight="1">
      <c r="A173" s="161"/>
      <c r="B173" s="162"/>
      <c r="C173" s="7"/>
      <c r="D173" s="161"/>
      <c r="E173" s="7"/>
      <c r="F173" s="161"/>
      <c r="G173" s="7"/>
      <c r="H173" s="7"/>
      <c r="I173" s="164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2.75" customHeight="1">
      <c r="A174" s="161"/>
      <c r="B174" s="162"/>
      <c r="C174" s="7"/>
      <c r="D174" s="161"/>
      <c r="E174" s="7"/>
      <c r="F174" s="161"/>
      <c r="G174" s="7"/>
      <c r="H174" s="7"/>
      <c r="I174" s="164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2.75" customHeight="1">
      <c r="A175" s="161"/>
      <c r="B175" s="162"/>
      <c r="C175" s="7"/>
      <c r="D175" s="161"/>
      <c r="E175" s="7"/>
      <c r="F175" s="161"/>
      <c r="G175" s="7"/>
      <c r="H175" s="7"/>
      <c r="I175" s="164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2.75" customHeight="1">
      <c r="A176" s="161"/>
      <c r="B176" s="162"/>
      <c r="C176" s="7"/>
      <c r="D176" s="161"/>
      <c r="E176" s="7"/>
      <c r="F176" s="161"/>
      <c r="G176" s="7"/>
      <c r="H176" s="7"/>
      <c r="I176" s="164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2.75" customHeight="1">
      <c r="A177" s="161"/>
      <c r="B177" s="162"/>
      <c r="C177" s="7"/>
      <c r="D177" s="161"/>
      <c r="E177" s="7"/>
      <c r="F177" s="161"/>
      <c r="G177" s="7"/>
      <c r="H177" s="7"/>
      <c r="I177" s="164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2.75" customHeight="1">
      <c r="A178" s="161"/>
      <c r="B178" s="162"/>
      <c r="C178" s="7"/>
      <c r="D178" s="161"/>
      <c r="E178" s="7"/>
      <c r="F178" s="161"/>
      <c r="G178" s="7"/>
      <c r="H178" s="7"/>
      <c r="I178" s="164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2.75" customHeight="1">
      <c r="A179" s="161"/>
      <c r="B179" s="162"/>
      <c r="C179" s="7"/>
      <c r="D179" s="161"/>
      <c r="E179" s="7"/>
      <c r="F179" s="161"/>
      <c r="G179" s="7"/>
      <c r="H179" s="7"/>
      <c r="I179" s="164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2.75" customHeight="1">
      <c r="A180" s="161"/>
      <c r="B180" s="162"/>
      <c r="C180" s="7"/>
      <c r="D180" s="161"/>
      <c r="E180" s="7"/>
      <c r="F180" s="161"/>
      <c r="G180" s="7"/>
      <c r="H180" s="7"/>
      <c r="I180" s="164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2.75" customHeight="1">
      <c r="A181" s="161"/>
      <c r="B181" s="162"/>
      <c r="C181" s="7"/>
      <c r="D181" s="161"/>
      <c r="E181" s="7"/>
      <c r="F181" s="161"/>
      <c r="G181" s="7"/>
      <c r="H181" s="7"/>
      <c r="I181" s="164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2.75" customHeight="1">
      <c r="A182" s="161"/>
      <c r="B182" s="162"/>
      <c r="C182" s="7"/>
      <c r="D182" s="161"/>
      <c r="E182" s="7"/>
      <c r="F182" s="161"/>
      <c r="G182" s="7"/>
      <c r="H182" s="7"/>
      <c r="I182" s="164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2.75" customHeight="1">
      <c r="A183" s="161"/>
      <c r="B183" s="162"/>
      <c r="C183" s="7"/>
      <c r="D183" s="161"/>
      <c r="E183" s="7"/>
      <c r="F183" s="161"/>
      <c r="G183" s="7"/>
      <c r="H183" s="7"/>
      <c r="I183" s="164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2.75" customHeight="1">
      <c r="A184" s="161"/>
      <c r="B184" s="162"/>
      <c r="C184" s="7"/>
      <c r="D184" s="161"/>
      <c r="E184" s="7"/>
      <c r="F184" s="161"/>
      <c r="G184" s="7"/>
      <c r="H184" s="7"/>
      <c r="I184" s="164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2.75" customHeight="1">
      <c r="A185" s="161"/>
      <c r="B185" s="162"/>
      <c r="C185" s="7"/>
      <c r="D185" s="161"/>
      <c r="E185" s="7"/>
      <c r="F185" s="161"/>
      <c r="G185" s="7"/>
      <c r="H185" s="7"/>
      <c r="I185" s="164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2.75" customHeight="1">
      <c r="A186" s="161"/>
      <c r="B186" s="162"/>
      <c r="C186" s="7"/>
      <c r="D186" s="161"/>
      <c r="E186" s="7"/>
      <c r="F186" s="161"/>
      <c r="G186" s="7"/>
      <c r="H186" s="7"/>
      <c r="I186" s="164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2.75" customHeight="1">
      <c r="A187" s="161"/>
      <c r="B187" s="162"/>
      <c r="C187" s="7"/>
      <c r="D187" s="161"/>
      <c r="E187" s="7"/>
      <c r="F187" s="161"/>
      <c r="G187" s="7"/>
      <c r="H187" s="7"/>
      <c r="I187" s="164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2.75" customHeight="1">
      <c r="A188" s="161"/>
      <c r="B188" s="162"/>
      <c r="C188" s="7"/>
      <c r="D188" s="161"/>
      <c r="E188" s="7"/>
      <c r="F188" s="161"/>
      <c r="G188" s="7"/>
      <c r="H188" s="7"/>
      <c r="I188" s="164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2.75" customHeight="1">
      <c r="A189" s="161"/>
      <c r="B189" s="162"/>
      <c r="C189" s="7"/>
      <c r="D189" s="161"/>
      <c r="E189" s="7"/>
      <c r="F189" s="161"/>
      <c r="G189" s="7"/>
      <c r="H189" s="7"/>
      <c r="I189" s="164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2.75" customHeight="1">
      <c r="A190" s="161"/>
      <c r="B190" s="162"/>
      <c r="C190" s="7"/>
      <c r="D190" s="161"/>
      <c r="E190" s="7"/>
      <c r="F190" s="161"/>
      <c r="G190" s="7"/>
      <c r="H190" s="7"/>
      <c r="I190" s="164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2.75" customHeight="1">
      <c r="A191" s="161"/>
      <c r="B191" s="162"/>
      <c r="C191" s="7"/>
      <c r="D191" s="161"/>
      <c r="E191" s="7"/>
      <c r="F191" s="161"/>
      <c r="G191" s="7"/>
      <c r="H191" s="7"/>
      <c r="I191" s="164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2.75" customHeight="1">
      <c r="A192" s="161"/>
      <c r="B192" s="162"/>
      <c r="C192" s="7"/>
      <c r="D192" s="161"/>
      <c r="E192" s="7"/>
      <c r="F192" s="161"/>
      <c r="G192" s="7"/>
      <c r="H192" s="7"/>
      <c r="I192" s="164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2.75" customHeight="1">
      <c r="A193" s="161"/>
      <c r="B193" s="162"/>
      <c r="C193" s="7"/>
      <c r="D193" s="161"/>
      <c r="E193" s="7"/>
      <c r="F193" s="161"/>
      <c r="G193" s="7"/>
      <c r="H193" s="7"/>
      <c r="I193" s="164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2.75" customHeight="1">
      <c r="A194" s="161"/>
      <c r="B194" s="162"/>
      <c r="C194" s="7"/>
      <c r="D194" s="161"/>
      <c r="E194" s="7"/>
      <c r="F194" s="161"/>
      <c r="G194" s="7"/>
      <c r="H194" s="7"/>
      <c r="I194" s="164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2.75" customHeight="1">
      <c r="A195" s="161"/>
      <c r="B195" s="162"/>
      <c r="C195" s="7"/>
      <c r="D195" s="161"/>
      <c r="E195" s="7"/>
      <c r="F195" s="161"/>
      <c r="G195" s="7"/>
      <c r="H195" s="7"/>
      <c r="I195" s="164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2.75" customHeight="1">
      <c r="A196" s="161"/>
      <c r="B196" s="162"/>
      <c r="C196" s="7"/>
      <c r="D196" s="161"/>
      <c r="E196" s="7"/>
      <c r="F196" s="161"/>
      <c r="G196" s="7"/>
      <c r="H196" s="7"/>
      <c r="I196" s="164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2.75" customHeight="1">
      <c r="A197" s="161"/>
      <c r="B197" s="162"/>
      <c r="C197" s="7"/>
      <c r="D197" s="161"/>
      <c r="E197" s="7"/>
      <c r="F197" s="161"/>
      <c r="G197" s="7"/>
      <c r="H197" s="7"/>
      <c r="I197" s="164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2.75" customHeight="1">
      <c r="A198" s="161"/>
      <c r="B198" s="162"/>
      <c r="C198" s="7"/>
      <c r="D198" s="161"/>
      <c r="E198" s="7"/>
      <c r="F198" s="161"/>
      <c r="G198" s="7"/>
      <c r="H198" s="7"/>
      <c r="I198" s="164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2.75" customHeight="1">
      <c r="A199" s="161"/>
      <c r="B199" s="162"/>
      <c r="C199" s="7"/>
      <c r="D199" s="161"/>
      <c r="E199" s="7"/>
      <c r="F199" s="161"/>
      <c r="G199" s="7"/>
      <c r="H199" s="7"/>
      <c r="I199" s="164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2.75" customHeight="1">
      <c r="A200" s="161"/>
      <c r="B200" s="162"/>
      <c r="C200" s="7"/>
      <c r="D200" s="161"/>
      <c r="E200" s="7"/>
      <c r="F200" s="161"/>
      <c r="G200" s="7"/>
      <c r="H200" s="7"/>
      <c r="I200" s="164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2.75" customHeight="1">
      <c r="A201" s="161"/>
      <c r="B201" s="162"/>
      <c r="C201" s="7"/>
      <c r="D201" s="161"/>
      <c r="E201" s="7"/>
      <c r="F201" s="161"/>
      <c r="G201" s="7"/>
      <c r="H201" s="7"/>
      <c r="I201" s="164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2.75" customHeight="1">
      <c r="A202" s="161"/>
      <c r="B202" s="162"/>
      <c r="C202" s="7"/>
      <c r="D202" s="161"/>
      <c r="E202" s="7"/>
      <c r="F202" s="161"/>
      <c r="G202" s="7"/>
      <c r="H202" s="7"/>
      <c r="I202" s="164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2.75" customHeight="1">
      <c r="A203" s="161"/>
      <c r="B203" s="162"/>
      <c r="C203" s="7"/>
      <c r="D203" s="161"/>
      <c r="E203" s="7"/>
      <c r="F203" s="161"/>
      <c r="G203" s="7"/>
      <c r="H203" s="7"/>
      <c r="I203" s="164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2.75" customHeight="1">
      <c r="A204" s="161"/>
      <c r="B204" s="162"/>
      <c r="C204" s="7"/>
      <c r="D204" s="161"/>
      <c r="E204" s="7"/>
      <c r="F204" s="161"/>
      <c r="G204" s="7"/>
      <c r="H204" s="7"/>
      <c r="I204" s="164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2.75" customHeight="1">
      <c r="A205" s="161"/>
      <c r="B205" s="162"/>
      <c r="C205" s="7"/>
      <c r="D205" s="161"/>
      <c r="E205" s="7"/>
      <c r="F205" s="161"/>
      <c r="G205" s="7"/>
      <c r="H205" s="7"/>
      <c r="I205" s="164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2.75" customHeight="1">
      <c r="A206" s="161"/>
      <c r="B206" s="162"/>
      <c r="C206" s="7"/>
      <c r="D206" s="161"/>
      <c r="E206" s="7"/>
      <c r="F206" s="161"/>
      <c r="G206" s="7"/>
      <c r="H206" s="7"/>
      <c r="I206" s="164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2.75" customHeight="1">
      <c r="A207" s="161"/>
      <c r="B207" s="162"/>
      <c r="C207" s="7"/>
      <c r="D207" s="161"/>
      <c r="E207" s="7"/>
      <c r="F207" s="161"/>
      <c r="G207" s="7"/>
      <c r="H207" s="7"/>
      <c r="I207" s="164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2.75" customHeight="1">
      <c r="A208" s="161"/>
      <c r="B208" s="162"/>
      <c r="C208" s="7"/>
      <c r="D208" s="161"/>
      <c r="E208" s="7"/>
      <c r="F208" s="161"/>
      <c r="G208" s="7"/>
      <c r="H208" s="7"/>
      <c r="I208" s="164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2.75" customHeight="1">
      <c r="A209" s="161"/>
      <c r="B209" s="162"/>
      <c r="C209" s="7"/>
      <c r="D209" s="161"/>
      <c r="E209" s="7"/>
      <c r="F209" s="161"/>
      <c r="G209" s="7"/>
      <c r="H209" s="7"/>
      <c r="I209" s="164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2.75" customHeight="1">
      <c r="A210" s="161"/>
      <c r="B210" s="162"/>
      <c r="C210" s="7"/>
      <c r="D210" s="161"/>
      <c r="E210" s="7"/>
      <c r="F210" s="161"/>
      <c r="G210" s="7"/>
      <c r="H210" s="7"/>
      <c r="I210" s="164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2.75" customHeight="1">
      <c r="A211" s="161"/>
      <c r="B211" s="162"/>
      <c r="C211" s="7"/>
      <c r="D211" s="161"/>
      <c r="E211" s="7"/>
      <c r="F211" s="161"/>
      <c r="G211" s="7"/>
      <c r="H211" s="7"/>
      <c r="I211" s="164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2.75" customHeight="1">
      <c r="A212" s="161"/>
      <c r="B212" s="162"/>
      <c r="C212" s="7"/>
      <c r="D212" s="161"/>
      <c r="E212" s="7"/>
      <c r="F212" s="161"/>
      <c r="G212" s="7"/>
      <c r="H212" s="7"/>
      <c r="I212" s="164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2.75" customHeight="1">
      <c r="A213" s="161"/>
      <c r="B213" s="162"/>
      <c r="C213" s="7"/>
      <c r="D213" s="161"/>
      <c r="E213" s="7"/>
      <c r="F213" s="161"/>
      <c r="G213" s="7"/>
      <c r="H213" s="7"/>
      <c r="I213" s="164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2.75" customHeight="1">
      <c r="A214" s="161"/>
      <c r="B214" s="162"/>
      <c r="C214" s="7"/>
      <c r="D214" s="161"/>
      <c r="E214" s="7"/>
      <c r="F214" s="161"/>
      <c r="G214" s="7"/>
      <c r="H214" s="7"/>
      <c r="I214" s="164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2.75" customHeight="1">
      <c r="A215" s="161"/>
      <c r="B215" s="162"/>
      <c r="C215" s="7"/>
      <c r="D215" s="161"/>
      <c r="E215" s="7"/>
      <c r="F215" s="161"/>
      <c r="G215" s="7"/>
      <c r="H215" s="7"/>
      <c r="I215" s="164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2.75" customHeight="1">
      <c r="A216" s="161"/>
      <c r="B216" s="162"/>
      <c r="C216" s="7"/>
      <c r="D216" s="161"/>
      <c r="E216" s="7"/>
      <c r="F216" s="161"/>
      <c r="G216" s="7"/>
      <c r="H216" s="7"/>
      <c r="I216" s="164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2.75" customHeight="1">
      <c r="A217" s="161"/>
      <c r="B217" s="162"/>
      <c r="C217" s="7"/>
      <c r="D217" s="161"/>
      <c r="E217" s="7"/>
      <c r="F217" s="161"/>
      <c r="G217" s="7"/>
      <c r="H217" s="7"/>
      <c r="I217" s="164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2.75" customHeight="1">
      <c r="A218" s="161"/>
      <c r="B218" s="162"/>
      <c r="C218" s="7"/>
      <c r="D218" s="161"/>
      <c r="E218" s="7"/>
      <c r="F218" s="161"/>
      <c r="G218" s="7"/>
      <c r="H218" s="7"/>
      <c r="I218" s="164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2.75" customHeight="1">
      <c r="A219" s="161"/>
      <c r="B219" s="162"/>
      <c r="C219" s="7"/>
      <c r="D219" s="161"/>
      <c r="E219" s="7"/>
      <c r="F219" s="161"/>
      <c r="G219" s="7"/>
      <c r="H219" s="7"/>
      <c r="I219" s="164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2.75" customHeight="1">
      <c r="A220" s="161"/>
      <c r="B220" s="162"/>
      <c r="C220" s="7"/>
      <c r="D220" s="161"/>
      <c r="E220" s="7"/>
      <c r="F220" s="161"/>
      <c r="G220" s="7"/>
      <c r="H220" s="7"/>
      <c r="I220" s="164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2.75" customHeight="1">
      <c r="A221" s="161"/>
      <c r="B221" s="162"/>
      <c r="C221" s="7"/>
      <c r="D221" s="161"/>
      <c r="E221" s="7"/>
      <c r="F221" s="161"/>
      <c r="G221" s="7"/>
      <c r="H221" s="7"/>
      <c r="I221" s="164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2.75" customHeight="1">
      <c r="A222" s="161"/>
      <c r="B222" s="162"/>
      <c r="C222" s="7"/>
      <c r="D222" s="161"/>
      <c r="E222" s="7"/>
      <c r="F222" s="161"/>
      <c r="G222" s="7"/>
      <c r="H222" s="7"/>
      <c r="I222" s="164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2.75" customHeight="1">
      <c r="A223" s="161"/>
      <c r="B223" s="162"/>
      <c r="C223" s="7"/>
      <c r="D223" s="161"/>
      <c r="E223" s="7"/>
      <c r="F223" s="161"/>
      <c r="G223" s="7"/>
      <c r="H223" s="7"/>
      <c r="I223" s="164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2.75" customHeight="1">
      <c r="A224" s="161"/>
      <c r="B224" s="162"/>
      <c r="C224" s="7"/>
      <c r="D224" s="161"/>
      <c r="E224" s="7"/>
      <c r="F224" s="161"/>
      <c r="G224" s="7"/>
      <c r="H224" s="7"/>
      <c r="I224" s="164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2.75" customHeight="1">
      <c r="A225" s="161"/>
      <c r="B225" s="162"/>
      <c r="C225" s="7"/>
      <c r="D225" s="161"/>
      <c r="E225" s="7"/>
      <c r="F225" s="161"/>
      <c r="G225" s="7"/>
      <c r="H225" s="7"/>
      <c r="I225" s="164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2.75" customHeight="1">
      <c r="A226" s="161"/>
      <c r="B226" s="162"/>
      <c r="C226" s="7"/>
      <c r="D226" s="161"/>
      <c r="E226" s="7"/>
      <c r="F226" s="161"/>
      <c r="G226" s="7"/>
      <c r="H226" s="7"/>
      <c r="I226" s="164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2.75" customHeight="1">
      <c r="A227" s="161"/>
      <c r="B227" s="162"/>
      <c r="C227" s="7"/>
      <c r="D227" s="161"/>
      <c r="E227" s="7"/>
      <c r="F227" s="161"/>
      <c r="G227" s="7"/>
      <c r="H227" s="7"/>
      <c r="I227" s="164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2.75" customHeight="1">
      <c r="A228" s="161"/>
      <c r="B228" s="162"/>
      <c r="C228" s="7"/>
      <c r="D228" s="161"/>
      <c r="E228" s="7"/>
      <c r="F228" s="161"/>
      <c r="G228" s="7"/>
      <c r="H228" s="7"/>
      <c r="I228" s="164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2.75" customHeight="1">
      <c r="A229" s="161"/>
      <c r="B229" s="162"/>
      <c r="C229" s="7"/>
      <c r="D229" s="161"/>
      <c r="E229" s="7"/>
      <c r="F229" s="161"/>
      <c r="G229" s="7"/>
      <c r="H229" s="7"/>
      <c r="I229" s="164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2.75" customHeight="1">
      <c r="A230" s="161"/>
      <c r="B230" s="162"/>
      <c r="C230" s="7"/>
      <c r="D230" s="161"/>
      <c r="E230" s="7"/>
      <c r="F230" s="161"/>
      <c r="G230" s="7"/>
      <c r="H230" s="7"/>
      <c r="I230" s="164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2.75" customHeight="1">
      <c r="A231" s="161"/>
      <c r="B231" s="162"/>
      <c r="C231" s="7"/>
      <c r="D231" s="161"/>
      <c r="E231" s="7"/>
      <c r="F231" s="161"/>
      <c r="G231" s="7"/>
      <c r="H231" s="7"/>
      <c r="I231" s="164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2.75" customHeight="1">
      <c r="A232" s="161"/>
      <c r="B232" s="162"/>
      <c r="C232" s="7"/>
      <c r="D232" s="161"/>
      <c r="E232" s="7"/>
      <c r="F232" s="161"/>
      <c r="G232" s="7"/>
      <c r="H232" s="7"/>
      <c r="I232" s="164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2.75" customHeight="1">
      <c r="A233" s="161"/>
      <c r="B233" s="162"/>
      <c r="C233" s="7"/>
      <c r="D233" s="161"/>
      <c r="E233" s="7"/>
      <c r="F233" s="161"/>
      <c r="G233" s="7"/>
      <c r="H233" s="7"/>
      <c r="I233" s="164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2.75" customHeight="1">
      <c r="A234" s="161"/>
      <c r="B234" s="162"/>
      <c r="C234" s="7"/>
      <c r="D234" s="161"/>
      <c r="E234" s="7"/>
      <c r="F234" s="161"/>
      <c r="G234" s="7"/>
      <c r="H234" s="7"/>
      <c r="I234" s="164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2.75" customHeight="1">
      <c r="A235" s="161"/>
      <c r="B235" s="162"/>
      <c r="C235" s="7"/>
      <c r="D235" s="161"/>
      <c r="E235" s="7"/>
      <c r="F235" s="161"/>
      <c r="G235" s="7"/>
      <c r="H235" s="7"/>
      <c r="I235" s="164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2.75" customHeight="1">
      <c r="A236" s="161"/>
      <c r="B236" s="162"/>
      <c r="C236" s="7"/>
      <c r="D236" s="161"/>
      <c r="E236" s="7"/>
      <c r="F236" s="161"/>
      <c r="G236" s="7"/>
      <c r="H236" s="7"/>
      <c r="I236" s="164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2.75" customHeight="1">
      <c r="A237" s="161"/>
      <c r="B237" s="162"/>
      <c r="C237" s="7"/>
      <c r="D237" s="161"/>
      <c r="E237" s="7"/>
      <c r="F237" s="161"/>
      <c r="G237" s="7"/>
      <c r="H237" s="7"/>
      <c r="I237" s="164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2.75" customHeight="1">
      <c r="A238" s="161"/>
      <c r="B238" s="162"/>
      <c r="C238" s="7"/>
      <c r="D238" s="161"/>
      <c r="E238" s="7"/>
      <c r="F238" s="161"/>
      <c r="G238" s="7"/>
      <c r="H238" s="7"/>
      <c r="I238" s="164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2.75" customHeight="1">
      <c r="A239" s="161"/>
      <c r="B239" s="162"/>
      <c r="C239" s="7"/>
      <c r="D239" s="161"/>
      <c r="E239" s="7"/>
      <c r="F239" s="161"/>
      <c r="G239" s="7"/>
      <c r="H239" s="7"/>
      <c r="I239" s="164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2.75" customHeight="1">
      <c r="A240" s="161"/>
      <c r="B240" s="162"/>
      <c r="C240" s="7"/>
      <c r="D240" s="161"/>
      <c r="E240" s="7"/>
      <c r="F240" s="161"/>
      <c r="G240" s="7"/>
      <c r="H240" s="7"/>
      <c r="I240" s="164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2.75" customHeight="1">
      <c r="A241" s="161"/>
      <c r="B241" s="162"/>
      <c r="C241" s="7"/>
      <c r="D241" s="161"/>
      <c r="E241" s="7"/>
      <c r="F241" s="161"/>
      <c r="G241" s="7"/>
      <c r="H241" s="7"/>
      <c r="I241" s="164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2.75" customHeight="1">
      <c r="A242" s="161"/>
      <c r="B242" s="162"/>
      <c r="C242" s="7"/>
      <c r="D242" s="161"/>
      <c r="E242" s="7"/>
      <c r="F242" s="161"/>
      <c r="G242" s="7"/>
      <c r="H242" s="7"/>
      <c r="I242" s="164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2.75" customHeight="1">
      <c r="A243" s="161"/>
      <c r="B243" s="162"/>
      <c r="C243" s="7"/>
      <c r="D243" s="161"/>
      <c r="E243" s="7"/>
      <c r="F243" s="161"/>
      <c r="G243" s="7"/>
      <c r="H243" s="7"/>
      <c r="I243" s="164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5:$J$43"/>
  <mergeCells count="13">
    <mergeCell ref="E3:E4"/>
    <mergeCell ref="F3:F4"/>
    <mergeCell ref="G3:G4"/>
    <mergeCell ref="H3:H4"/>
    <mergeCell ref="I3:I4"/>
    <mergeCell ref="J3:J4"/>
    <mergeCell ref="A1:B2"/>
    <mergeCell ref="C1:G2"/>
    <mergeCell ref="H1:J2"/>
    <mergeCell ref="A3:A4"/>
    <mergeCell ref="B3:B4"/>
    <mergeCell ref="C3:C4"/>
    <mergeCell ref="D3:D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2.71"/>
    <col customWidth="1" min="2" max="2" width="7.14"/>
    <col customWidth="1" min="3" max="3" width="51.86"/>
    <col customWidth="1" min="4" max="4" width="58.57"/>
    <col customWidth="1" min="5" max="5" width="9.43"/>
    <col customWidth="1" min="6" max="6" width="14.43"/>
    <col customWidth="1" min="7" max="7" width="17.57"/>
    <col customWidth="1" min="8" max="9" width="14.86"/>
    <col customWidth="1" min="10" max="10" width="17.57"/>
    <col customWidth="1" min="11" max="11" width="23.14"/>
    <col customWidth="1" min="12" max="12" width="9.14"/>
    <col customWidth="1" min="13" max="13" width="12.0"/>
    <col customWidth="1" min="14" max="21" width="9.14"/>
    <col customWidth="1" min="22" max="26" width="8.0"/>
  </cols>
  <sheetData>
    <row r="1" ht="21.0" customHeight="1">
      <c r="A1" s="165"/>
      <c r="B1" s="4"/>
      <c r="C1" s="166" t="s">
        <v>120</v>
      </c>
      <c r="D1" s="4"/>
      <c r="E1" s="4"/>
      <c r="F1" s="4"/>
      <c r="G1" s="2"/>
      <c r="H1" s="167" t="s">
        <v>121</v>
      </c>
      <c r="I1" s="4"/>
      <c r="J1" s="4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40.5" customHeight="1">
      <c r="A2" s="8"/>
      <c r="B2" s="11"/>
      <c r="C2" s="8"/>
      <c r="D2" s="11"/>
      <c r="E2" s="11"/>
      <c r="F2" s="11"/>
      <c r="G2" s="9"/>
      <c r="H2" s="10"/>
      <c r="I2" s="11"/>
      <c r="J2" s="11"/>
      <c r="K2" s="12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customHeight="1">
      <c r="A3" s="13" t="s">
        <v>2</v>
      </c>
      <c r="B3" s="168" t="s">
        <v>3</v>
      </c>
      <c r="C3" s="13" t="s">
        <v>4</v>
      </c>
      <c r="D3" s="16" t="s">
        <v>5</v>
      </c>
      <c r="E3" s="169" t="s">
        <v>6</v>
      </c>
      <c r="F3" s="170">
        <v>2016.0</v>
      </c>
      <c r="G3" s="171">
        <v>2017.0</v>
      </c>
      <c r="H3" s="16" t="s">
        <v>122</v>
      </c>
      <c r="I3" s="16" t="s">
        <v>123</v>
      </c>
      <c r="J3" s="172">
        <v>2018.0</v>
      </c>
      <c r="K3" s="173" t="s">
        <v>124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32.25" customHeight="1">
      <c r="A4" s="22"/>
      <c r="B4" s="174"/>
      <c r="C4" s="22"/>
      <c r="D4" s="23"/>
      <c r="E4" s="174"/>
      <c r="F4" s="24"/>
      <c r="G4" s="24"/>
      <c r="H4" s="23"/>
      <c r="I4" s="23"/>
      <c r="J4" s="24"/>
      <c r="K4" s="2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0.5" customHeight="1">
      <c r="A5" s="175"/>
      <c r="B5" s="176"/>
      <c r="C5" s="177"/>
      <c r="D5" s="178"/>
      <c r="E5" s="179"/>
      <c r="F5" s="180"/>
      <c r="G5" s="181"/>
      <c r="H5" s="179"/>
      <c r="I5" s="179"/>
      <c r="J5" s="182"/>
      <c r="K5" s="183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75" customHeight="1">
      <c r="A6" s="33" t="s">
        <v>125</v>
      </c>
      <c r="B6" s="184" t="s">
        <v>10</v>
      </c>
      <c r="C6" s="185" t="s">
        <v>11</v>
      </c>
      <c r="D6" s="36" t="s">
        <v>126</v>
      </c>
      <c r="E6" s="36" t="s">
        <v>13</v>
      </c>
      <c r="F6" s="186">
        <v>10880.0</v>
      </c>
      <c r="G6" s="187">
        <v>11465.0</v>
      </c>
      <c r="H6" s="59">
        <f t="shared" ref="H6:H8" si="1">SUM(J6-G6)</f>
        <v>686</v>
      </c>
      <c r="I6" s="69">
        <f>H6/G6</f>
        <v>0.05983427824</v>
      </c>
      <c r="J6" s="188">
        <v>12151.0</v>
      </c>
      <c r="K6" s="189" t="s">
        <v>49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75" customHeight="1">
      <c r="A7" s="42"/>
      <c r="B7" s="190" t="s">
        <v>15</v>
      </c>
      <c r="C7" s="185" t="s">
        <v>127</v>
      </c>
      <c r="D7" s="44" t="s">
        <v>128</v>
      </c>
      <c r="E7" s="45" t="s">
        <v>13</v>
      </c>
      <c r="F7" s="186">
        <v>5267.0</v>
      </c>
      <c r="G7" s="187">
        <v>6348.0</v>
      </c>
      <c r="H7" s="59">
        <f t="shared" si="1"/>
        <v>930</v>
      </c>
      <c r="I7" s="69">
        <f>H7/G6</f>
        <v>0.08111644134</v>
      </c>
      <c r="J7" s="188">
        <v>7278.0</v>
      </c>
      <c r="K7" s="191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75" customHeight="1">
      <c r="A8" s="42"/>
      <c r="B8" s="190" t="s">
        <v>19</v>
      </c>
      <c r="C8" s="185" t="s">
        <v>129</v>
      </c>
      <c r="D8" s="44" t="s">
        <v>130</v>
      </c>
      <c r="E8" s="45" t="s">
        <v>13</v>
      </c>
      <c r="F8" s="186">
        <v>5613.0</v>
      </c>
      <c r="G8" s="187">
        <v>5117.0</v>
      </c>
      <c r="H8" s="59">
        <f t="shared" si="1"/>
        <v>-244</v>
      </c>
      <c r="I8" s="69">
        <f>H8/G6</f>
        <v>-0.02128216311</v>
      </c>
      <c r="J8" s="188">
        <f>J6-J7</f>
        <v>4873</v>
      </c>
      <c r="K8" s="4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31.5" customHeight="1">
      <c r="A9" s="51"/>
      <c r="B9" s="190" t="s">
        <v>22</v>
      </c>
      <c r="C9" s="192" t="s">
        <v>23</v>
      </c>
      <c r="D9" s="53" t="s">
        <v>24</v>
      </c>
      <c r="E9" s="53" t="s">
        <v>13</v>
      </c>
      <c r="F9" s="193">
        <v>2.65</v>
      </c>
      <c r="G9" s="194">
        <v>2.84</v>
      </c>
      <c r="H9" s="195">
        <f>J9-G9</f>
        <v>-0.19</v>
      </c>
      <c r="I9" s="69">
        <f t="shared" ref="I9:I10" si="2">H9/G9</f>
        <v>-0.06690140845</v>
      </c>
      <c r="J9" s="196">
        <v>2.65</v>
      </c>
      <c r="K9" s="57" t="s">
        <v>131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75" customHeight="1">
      <c r="A10" s="58" t="s">
        <v>132</v>
      </c>
      <c r="B10" s="184" t="s">
        <v>27</v>
      </c>
      <c r="C10" s="185" t="s">
        <v>11</v>
      </c>
      <c r="D10" s="36" t="s">
        <v>126</v>
      </c>
      <c r="E10" s="45" t="s">
        <v>13</v>
      </c>
      <c r="F10" s="186">
        <v>11220.0</v>
      </c>
      <c r="G10" s="187">
        <v>11666.0</v>
      </c>
      <c r="H10" s="59">
        <f t="shared" ref="H10:H12" si="3">SUM(J10-G10)</f>
        <v>1062</v>
      </c>
      <c r="I10" s="69">
        <f t="shared" si="2"/>
        <v>0.09103377336</v>
      </c>
      <c r="J10" s="188">
        <v>12728.0</v>
      </c>
      <c r="K10" s="19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4.75" customHeight="1">
      <c r="A11" s="61"/>
      <c r="B11" s="190" t="s">
        <v>29</v>
      </c>
      <c r="C11" s="185" t="s">
        <v>127</v>
      </c>
      <c r="D11" s="44" t="s">
        <v>128</v>
      </c>
      <c r="E11" s="45" t="s">
        <v>13</v>
      </c>
      <c r="F11" s="186">
        <v>7858.0</v>
      </c>
      <c r="G11" s="187">
        <v>7956.0</v>
      </c>
      <c r="H11" s="59">
        <f t="shared" si="3"/>
        <v>837</v>
      </c>
      <c r="I11" s="69">
        <f>H11/G10</f>
        <v>0.07174695697</v>
      </c>
      <c r="J11" s="188">
        <v>8793.0</v>
      </c>
      <c r="K11" s="197" t="s">
        <v>133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75" customHeight="1">
      <c r="A12" s="61"/>
      <c r="B12" s="190" t="s">
        <v>32</v>
      </c>
      <c r="C12" s="185" t="s">
        <v>129</v>
      </c>
      <c r="D12" s="44" t="s">
        <v>130</v>
      </c>
      <c r="E12" s="45" t="s">
        <v>13</v>
      </c>
      <c r="F12" s="186">
        <v>3362.0</v>
      </c>
      <c r="G12" s="187">
        <v>3710.0</v>
      </c>
      <c r="H12" s="59">
        <f t="shared" si="3"/>
        <v>225</v>
      </c>
      <c r="I12" s="69">
        <f>H12/G10</f>
        <v>0.01928681639</v>
      </c>
      <c r="J12" s="188">
        <f>J10-J11</f>
        <v>3935</v>
      </c>
      <c r="K12" s="41"/>
      <c r="L12" s="7"/>
      <c r="M12" s="198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1.5" customHeight="1">
      <c r="A13" s="67"/>
      <c r="B13" s="199" t="s">
        <v>35</v>
      </c>
      <c r="C13" s="192" t="s">
        <v>23</v>
      </c>
      <c r="D13" s="53" t="s">
        <v>24</v>
      </c>
      <c r="E13" s="53" t="s">
        <v>13</v>
      </c>
      <c r="F13" s="193">
        <v>2.96</v>
      </c>
      <c r="G13" s="194">
        <v>2.96</v>
      </c>
      <c r="H13" s="195">
        <f>J13-G13</f>
        <v>0</v>
      </c>
      <c r="I13" s="69">
        <f t="shared" ref="I13:I14" si="4">H13/G13</f>
        <v>0</v>
      </c>
      <c r="J13" s="196">
        <v>2.96</v>
      </c>
      <c r="K13" s="57" t="s">
        <v>134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4.75" customHeight="1">
      <c r="A14" s="58" t="s">
        <v>135</v>
      </c>
      <c r="B14" s="184" t="s">
        <v>38</v>
      </c>
      <c r="C14" s="185" t="s">
        <v>11</v>
      </c>
      <c r="D14" s="36" t="s">
        <v>126</v>
      </c>
      <c r="E14" s="36" t="s">
        <v>13</v>
      </c>
      <c r="F14" s="186">
        <v>3310.0</v>
      </c>
      <c r="G14" s="187">
        <v>3120.0</v>
      </c>
      <c r="H14" s="59">
        <f t="shared" ref="H14:H16" si="5">SUM(J14-G14)</f>
        <v>307</v>
      </c>
      <c r="I14" s="69">
        <f t="shared" si="4"/>
        <v>0.0983974359</v>
      </c>
      <c r="J14" s="188">
        <v>3427.0</v>
      </c>
      <c r="K14" s="189" t="s">
        <v>49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75" customHeight="1">
      <c r="A15" s="61"/>
      <c r="B15" s="190" t="s">
        <v>40</v>
      </c>
      <c r="C15" s="185" t="s">
        <v>127</v>
      </c>
      <c r="D15" s="44" t="s">
        <v>128</v>
      </c>
      <c r="E15" s="45" t="s">
        <v>13</v>
      </c>
      <c r="F15" s="186">
        <v>2492.0</v>
      </c>
      <c r="G15" s="187">
        <v>2212.0</v>
      </c>
      <c r="H15" s="59">
        <f t="shared" si="5"/>
        <v>160</v>
      </c>
      <c r="I15" s="69">
        <f>H15/G14</f>
        <v>0.05128205128</v>
      </c>
      <c r="J15" s="188">
        <v>2372.0</v>
      </c>
      <c r="K15" s="19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4.75" customHeight="1">
      <c r="A16" s="61"/>
      <c r="B16" s="190" t="s">
        <v>43</v>
      </c>
      <c r="C16" s="185" t="s">
        <v>129</v>
      </c>
      <c r="D16" s="44" t="s">
        <v>130</v>
      </c>
      <c r="E16" s="45" t="s">
        <v>13</v>
      </c>
      <c r="F16" s="186">
        <v>818.0</v>
      </c>
      <c r="G16" s="187">
        <v>908.0</v>
      </c>
      <c r="H16" s="59">
        <f t="shared" si="5"/>
        <v>147</v>
      </c>
      <c r="I16" s="69">
        <f>H16/G14</f>
        <v>0.04711538462</v>
      </c>
      <c r="J16" s="188">
        <f>J14-J15</f>
        <v>1055</v>
      </c>
      <c r="K16" s="41"/>
      <c r="L16" s="7"/>
      <c r="M16" s="198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37.5" customHeight="1">
      <c r="A17" s="67"/>
      <c r="B17" s="190" t="s">
        <v>45</v>
      </c>
      <c r="C17" s="192" t="s">
        <v>23</v>
      </c>
      <c r="D17" s="53" t="s">
        <v>24</v>
      </c>
      <c r="E17" s="53" t="s">
        <v>13</v>
      </c>
      <c r="F17" s="193">
        <v>3.1</v>
      </c>
      <c r="G17" s="194">
        <v>3.1</v>
      </c>
      <c r="H17" s="195">
        <f>J17-G17</f>
        <v>0</v>
      </c>
      <c r="I17" s="69">
        <f t="shared" ref="I17:I18" si="6">H17/G17</f>
        <v>0</v>
      </c>
      <c r="J17" s="196">
        <v>3.1</v>
      </c>
      <c r="K17" s="57" t="s">
        <v>136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4.75" customHeight="1">
      <c r="A18" s="58" t="s">
        <v>137</v>
      </c>
      <c r="B18" s="184" t="s">
        <v>48</v>
      </c>
      <c r="C18" s="185" t="s">
        <v>11</v>
      </c>
      <c r="D18" s="36" t="s">
        <v>126</v>
      </c>
      <c r="E18" s="36" t="s">
        <v>13</v>
      </c>
      <c r="F18" s="186">
        <v>1383.0</v>
      </c>
      <c r="G18" s="187">
        <v>1168.0</v>
      </c>
      <c r="H18" s="59">
        <f t="shared" ref="H18:H20" si="7">SUM(J18-G18)</f>
        <v>402</v>
      </c>
      <c r="I18" s="69">
        <f t="shared" si="6"/>
        <v>0.3441780822</v>
      </c>
      <c r="J18" s="188">
        <v>1570.0</v>
      </c>
      <c r="K18" s="189" t="s">
        <v>49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75" customHeight="1">
      <c r="A19" s="61"/>
      <c r="B19" s="190" t="s">
        <v>50</v>
      </c>
      <c r="C19" s="185" t="s">
        <v>127</v>
      </c>
      <c r="D19" s="44" t="s">
        <v>128</v>
      </c>
      <c r="E19" s="45" t="s">
        <v>13</v>
      </c>
      <c r="F19" s="186">
        <v>554.0</v>
      </c>
      <c r="G19" s="187">
        <v>531.0</v>
      </c>
      <c r="H19" s="59">
        <f t="shared" si="7"/>
        <v>5</v>
      </c>
      <c r="I19" s="69">
        <f>H19/G18</f>
        <v>0.004280821918</v>
      </c>
      <c r="J19" s="188">
        <v>536.0</v>
      </c>
      <c r="K19" s="191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4.75" customHeight="1">
      <c r="A20" s="61"/>
      <c r="B20" s="190" t="s">
        <v>51</v>
      </c>
      <c r="C20" s="185" t="s">
        <v>129</v>
      </c>
      <c r="D20" s="44" t="s">
        <v>130</v>
      </c>
      <c r="E20" s="45" t="s">
        <v>13</v>
      </c>
      <c r="F20" s="186">
        <v>829.0</v>
      </c>
      <c r="G20" s="187">
        <v>637.0</v>
      </c>
      <c r="H20" s="59">
        <f t="shared" si="7"/>
        <v>397</v>
      </c>
      <c r="I20" s="69">
        <f>H20/G18</f>
        <v>0.3398972603</v>
      </c>
      <c r="J20" s="188">
        <f>J18-J19</f>
        <v>1034</v>
      </c>
      <c r="K20" s="41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1.5" customHeight="1">
      <c r="A21" s="67"/>
      <c r="B21" s="190" t="s">
        <v>53</v>
      </c>
      <c r="C21" s="192" t="s">
        <v>23</v>
      </c>
      <c r="D21" s="53" t="s">
        <v>24</v>
      </c>
      <c r="E21" s="53" t="s">
        <v>13</v>
      </c>
      <c r="F21" s="193">
        <v>3.2</v>
      </c>
      <c r="G21" s="194">
        <v>3.2</v>
      </c>
      <c r="H21" s="195">
        <f>J21-G21</f>
        <v>0</v>
      </c>
      <c r="I21" s="69">
        <f t="shared" ref="I21:I22" si="8">H21/G21</f>
        <v>0</v>
      </c>
      <c r="J21" s="196">
        <v>3.2</v>
      </c>
      <c r="K21" s="57" t="s">
        <v>136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4.75" customHeight="1">
      <c r="A22" s="75" t="s">
        <v>138</v>
      </c>
      <c r="B22" s="184" t="s">
        <v>56</v>
      </c>
      <c r="C22" s="185" t="s">
        <v>11</v>
      </c>
      <c r="D22" s="36" t="s">
        <v>126</v>
      </c>
      <c r="E22" s="36" t="s">
        <v>13</v>
      </c>
      <c r="F22" s="186">
        <v>3989.0</v>
      </c>
      <c r="G22" s="187">
        <v>3740.0</v>
      </c>
      <c r="H22" s="59">
        <f t="shared" ref="H22:H32" si="9">SUM(J22-G22)</f>
        <v>556</v>
      </c>
      <c r="I22" s="69">
        <f t="shared" si="8"/>
        <v>0.1486631016</v>
      </c>
      <c r="J22" s="188">
        <v>4296.0</v>
      </c>
      <c r="K22" s="189" t="s">
        <v>49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4.75" customHeight="1">
      <c r="A23" s="77"/>
      <c r="B23" s="190" t="s">
        <v>57</v>
      </c>
      <c r="C23" s="185" t="s">
        <v>127</v>
      </c>
      <c r="D23" s="44" t="s">
        <v>128</v>
      </c>
      <c r="E23" s="45" t="s">
        <v>13</v>
      </c>
      <c r="F23" s="186">
        <v>1938.0</v>
      </c>
      <c r="G23" s="187">
        <v>1830.0</v>
      </c>
      <c r="H23" s="59">
        <f t="shared" si="9"/>
        <v>210</v>
      </c>
      <c r="I23" s="69">
        <f>H23/G22</f>
        <v>0.05614973262</v>
      </c>
      <c r="J23" s="188">
        <v>2040.0</v>
      </c>
      <c r="K23" s="191"/>
      <c r="L23" s="198"/>
      <c r="M23" s="198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4.75" customHeight="1">
      <c r="A24" s="77"/>
      <c r="B24" s="190" t="s">
        <v>59</v>
      </c>
      <c r="C24" s="200" t="s">
        <v>129</v>
      </c>
      <c r="D24" s="44" t="s">
        <v>130</v>
      </c>
      <c r="E24" s="80" t="s">
        <v>13</v>
      </c>
      <c r="F24" s="186">
        <v>2051.0</v>
      </c>
      <c r="G24" s="187">
        <v>1910.0</v>
      </c>
      <c r="H24" s="201">
        <f t="shared" si="9"/>
        <v>346</v>
      </c>
      <c r="I24" s="69">
        <f>H24/G22</f>
        <v>0.09251336898</v>
      </c>
      <c r="J24" s="188">
        <f>J22-J23</f>
        <v>2256</v>
      </c>
      <c r="K24" s="41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4.75" customHeight="1">
      <c r="A25" s="58" t="s">
        <v>139</v>
      </c>
      <c r="B25" s="184" t="s">
        <v>62</v>
      </c>
      <c r="C25" s="185" t="s">
        <v>11</v>
      </c>
      <c r="D25" s="36" t="s">
        <v>126</v>
      </c>
      <c r="E25" s="45" t="s">
        <v>13</v>
      </c>
      <c r="F25" s="202">
        <v>14373.0</v>
      </c>
      <c r="G25" s="203">
        <v>13821.0</v>
      </c>
      <c r="H25" s="39">
        <f t="shared" si="9"/>
        <v>-703</v>
      </c>
      <c r="I25" s="69">
        <f>H25/G25</f>
        <v>-0.05086462629</v>
      </c>
      <c r="J25" s="204">
        <v>13118.0</v>
      </c>
      <c r="K25" s="189" t="s">
        <v>140</v>
      </c>
      <c r="L25" s="7"/>
      <c r="M25" s="198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4.75" customHeight="1">
      <c r="A26" s="61"/>
      <c r="B26" s="190" t="s">
        <v>63</v>
      </c>
      <c r="C26" s="185" t="s">
        <v>127</v>
      </c>
      <c r="D26" s="44" t="s">
        <v>128</v>
      </c>
      <c r="E26" s="45" t="s">
        <v>13</v>
      </c>
      <c r="F26" s="205">
        <v>7741.0</v>
      </c>
      <c r="G26" s="206">
        <v>7518.0</v>
      </c>
      <c r="H26" s="207">
        <f t="shared" si="9"/>
        <v>-101</v>
      </c>
      <c r="I26" s="69">
        <f>H26/G25</f>
        <v>-0.007307720136</v>
      </c>
      <c r="J26" s="208">
        <v>7417.0</v>
      </c>
      <c r="K26" s="19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4.75" customHeight="1">
      <c r="A27" s="61"/>
      <c r="B27" s="209" t="s">
        <v>65</v>
      </c>
      <c r="C27" s="200" t="s">
        <v>129</v>
      </c>
      <c r="D27" s="44" t="s">
        <v>130</v>
      </c>
      <c r="E27" s="80" t="s">
        <v>13</v>
      </c>
      <c r="F27" s="210">
        <v>6632.0</v>
      </c>
      <c r="G27" s="211">
        <v>6303.0</v>
      </c>
      <c r="H27" s="212">
        <f t="shared" si="9"/>
        <v>-602</v>
      </c>
      <c r="I27" s="69">
        <f>H27/G25</f>
        <v>-0.04355690616</v>
      </c>
      <c r="J27" s="213">
        <f>J25-J26</f>
        <v>5701</v>
      </c>
      <c r="K27" s="41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4.75" customHeight="1">
      <c r="A28" s="58" t="s">
        <v>141</v>
      </c>
      <c r="B28" s="190" t="s">
        <v>68</v>
      </c>
      <c r="C28" s="185" t="s">
        <v>11</v>
      </c>
      <c r="D28" s="36" t="s">
        <v>126</v>
      </c>
      <c r="E28" s="45" t="s">
        <v>13</v>
      </c>
      <c r="F28" s="202">
        <v>4044.0</v>
      </c>
      <c r="G28" s="203">
        <v>4879.0</v>
      </c>
      <c r="H28" s="59">
        <f t="shared" si="9"/>
        <v>-446</v>
      </c>
      <c r="I28" s="69">
        <f>H28/G28</f>
        <v>-0.09141217463</v>
      </c>
      <c r="J28" s="204">
        <v>4433.0</v>
      </c>
      <c r="K28" s="189" t="s">
        <v>142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4.75" customHeight="1">
      <c r="A29" s="61"/>
      <c r="B29" s="190" t="s">
        <v>69</v>
      </c>
      <c r="C29" s="185" t="s">
        <v>127</v>
      </c>
      <c r="D29" s="44" t="s">
        <v>128</v>
      </c>
      <c r="E29" s="45" t="s">
        <v>13</v>
      </c>
      <c r="F29" s="205">
        <v>2109.0</v>
      </c>
      <c r="G29" s="206">
        <v>2485.0</v>
      </c>
      <c r="H29" s="59">
        <f t="shared" si="9"/>
        <v>59</v>
      </c>
      <c r="I29" s="69">
        <f>H29/G28</f>
        <v>0.01209264193</v>
      </c>
      <c r="J29" s="208">
        <v>2544.0</v>
      </c>
      <c r="K29" s="191"/>
      <c r="L29" s="7"/>
      <c r="M29" s="198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4.75" customHeight="1">
      <c r="A30" s="61"/>
      <c r="B30" s="209" t="s">
        <v>71</v>
      </c>
      <c r="C30" s="200" t="s">
        <v>129</v>
      </c>
      <c r="D30" s="80" t="s">
        <v>130</v>
      </c>
      <c r="E30" s="80" t="s">
        <v>13</v>
      </c>
      <c r="F30" s="210">
        <v>1935.0</v>
      </c>
      <c r="G30" s="211">
        <v>2394.0</v>
      </c>
      <c r="H30" s="59">
        <f t="shared" si="9"/>
        <v>-505</v>
      </c>
      <c r="I30" s="69">
        <f>H30/G28</f>
        <v>-0.1035048166</v>
      </c>
      <c r="J30" s="213">
        <f>J28-J29</f>
        <v>1889</v>
      </c>
      <c r="K30" s="41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4.75" customHeight="1">
      <c r="A31" s="94" t="s">
        <v>143</v>
      </c>
      <c r="B31" s="184" t="s">
        <v>73</v>
      </c>
      <c r="C31" s="214" t="s">
        <v>11</v>
      </c>
      <c r="D31" s="36" t="s">
        <v>74</v>
      </c>
      <c r="E31" s="121" t="s">
        <v>13</v>
      </c>
      <c r="F31" s="186">
        <v>13950.0</v>
      </c>
      <c r="G31" s="187">
        <v>13837.0</v>
      </c>
      <c r="H31" s="59">
        <f t="shared" si="9"/>
        <v>-2765</v>
      </c>
      <c r="I31" s="69">
        <f t="shared" ref="I31:I32" si="10">H31/G31</f>
        <v>-0.199826552</v>
      </c>
      <c r="J31" s="188">
        <v>11072.0</v>
      </c>
      <c r="K31" s="189" t="s">
        <v>144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4.75" customHeight="1">
      <c r="A32" s="100"/>
      <c r="B32" s="190" t="s">
        <v>75</v>
      </c>
      <c r="C32" s="185" t="s">
        <v>145</v>
      </c>
      <c r="D32" s="45" t="s">
        <v>77</v>
      </c>
      <c r="E32" s="44" t="s">
        <v>13</v>
      </c>
      <c r="F32" s="186">
        <v>2033.0</v>
      </c>
      <c r="G32" s="187">
        <v>1885.0</v>
      </c>
      <c r="H32" s="59">
        <f t="shared" si="9"/>
        <v>-55</v>
      </c>
      <c r="I32" s="69">
        <f t="shared" si="10"/>
        <v>-0.02917771883</v>
      </c>
      <c r="J32" s="188">
        <v>1830.0</v>
      </c>
      <c r="K32" s="191" t="s">
        <v>146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4.75" customHeight="1">
      <c r="A33" s="101"/>
      <c r="B33" s="199" t="s">
        <v>147</v>
      </c>
      <c r="C33" s="215" t="s">
        <v>148</v>
      </c>
      <c r="D33" s="53" t="s">
        <v>149</v>
      </c>
      <c r="E33" s="80" t="s">
        <v>13</v>
      </c>
      <c r="F33" s="216">
        <v>0.1537</v>
      </c>
      <c r="G33" s="217" t="s">
        <v>150</v>
      </c>
      <c r="H33" s="69" t="str">
        <f>G33-F33</f>
        <v>#VALUE!</v>
      </c>
      <c r="I33" s="218" t="s">
        <v>151</v>
      </c>
      <c r="J33" s="219">
        <v>0.1283</v>
      </c>
      <c r="K33" s="41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4.75" customHeight="1">
      <c r="A34" s="100" t="s">
        <v>152</v>
      </c>
      <c r="B34" s="190" t="s">
        <v>73</v>
      </c>
      <c r="C34" s="185" t="s">
        <v>11</v>
      </c>
      <c r="D34" s="45" t="s">
        <v>74</v>
      </c>
      <c r="E34" s="102" t="s">
        <v>13</v>
      </c>
      <c r="F34" s="186">
        <v>33452.0</v>
      </c>
      <c r="G34" s="187">
        <v>40507.0</v>
      </c>
      <c r="H34" s="59">
        <f t="shared" ref="H34:H35" si="11">J34-G34</f>
        <v>-4983</v>
      </c>
      <c r="I34" s="69">
        <f t="shared" ref="I34:I35" si="12">H34/G34</f>
        <v>-0.1230157751</v>
      </c>
      <c r="J34" s="188">
        <v>35524.0</v>
      </c>
      <c r="K34" s="189" t="s">
        <v>144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4.75" customHeight="1">
      <c r="A35" s="100"/>
      <c r="B35" s="190" t="s">
        <v>75</v>
      </c>
      <c r="C35" s="185" t="s">
        <v>145</v>
      </c>
      <c r="D35" s="45" t="s">
        <v>77</v>
      </c>
      <c r="E35" s="44" t="s">
        <v>13</v>
      </c>
      <c r="F35" s="186">
        <v>2065.0</v>
      </c>
      <c r="G35" s="187">
        <v>2414.0</v>
      </c>
      <c r="H35" s="59">
        <f t="shared" si="11"/>
        <v>-197</v>
      </c>
      <c r="I35" s="69">
        <f t="shared" si="12"/>
        <v>-0.0816072908</v>
      </c>
      <c r="J35" s="188">
        <v>2217.0</v>
      </c>
      <c r="K35" s="191" t="s">
        <v>153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4.75" customHeight="1">
      <c r="A36" s="101"/>
      <c r="B36" s="190" t="s">
        <v>147</v>
      </c>
      <c r="C36" s="185" t="s">
        <v>148</v>
      </c>
      <c r="D36" s="45" t="s">
        <v>149</v>
      </c>
      <c r="E36" s="80" t="s">
        <v>13</v>
      </c>
      <c r="F36" s="220">
        <v>0.2752</v>
      </c>
      <c r="G36" s="217">
        <v>0.362</v>
      </c>
      <c r="H36" s="69">
        <f>G36-F36</f>
        <v>0.0868</v>
      </c>
      <c r="I36" s="69">
        <f>J36-G36</f>
        <v>-0.0747</v>
      </c>
      <c r="J36" s="219">
        <v>0.2873</v>
      </c>
      <c r="K36" s="41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4.75" customHeight="1">
      <c r="A37" s="75" t="s">
        <v>78</v>
      </c>
      <c r="B37" s="184" t="s">
        <v>79</v>
      </c>
      <c r="C37" s="214" t="s">
        <v>80</v>
      </c>
      <c r="D37" s="36" t="s">
        <v>81</v>
      </c>
      <c r="E37" s="102" t="s">
        <v>13</v>
      </c>
      <c r="F37" s="221">
        <v>242148.12</v>
      </c>
      <c r="G37" s="222">
        <v>259786.0</v>
      </c>
      <c r="H37" s="106">
        <f t="shared" ref="H37:H39" si="13">SUM(J37-G37)</f>
        <v>25348</v>
      </c>
      <c r="I37" s="69">
        <f t="shared" ref="I37:I39" si="14">H37/G37</f>
        <v>0.09757261746</v>
      </c>
      <c r="J37" s="223">
        <v>285134.0</v>
      </c>
      <c r="K37" s="189" t="s">
        <v>49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4.75" customHeight="1">
      <c r="A38" s="77"/>
      <c r="B38" s="190" t="s">
        <v>83</v>
      </c>
      <c r="C38" s="224" t="s">
        <v>84</v>
      </c>
      <c r="D38" s="45" t="s">
        <v>85</v>
      </c>
      <c r="E38" s="44" t="s">
        <v>13</v>
      </c>
      <c r="F38" s="221">
        <v>81531.84</v>
      </c>
      <c r="G38" s="222">
        <v>65430.0</v>
      </c>
      <c r="H38" s="106">
        <f t="shared" si="13"/>
        <v>39634</v>
      </c>
      <c r="I38" s="69">
        <f t="shared" si="14"/>
        <v>0.6057465994</v>
      </c>
      <c r="J38" s="225">
        <v>105064.0</v>
      </c>
      <c r="K38" s="191" t="s">
        <v>154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4.75" customHeight="1">
      <c r="A39" s="114"/>
      <c r="B39" s="209" t="s">
        <v>86</v>
      </c>
      <c r="C39" s="226" t="s">
        <v>87</v>
      </c>
      <c r="D39" s="80" t="s">
        <v>88</v>
      </c>
      <c r="E39" s="53" t="s">
        <v>13</v>
      </c>
      <c r="F39" s="221">
        <v>5000.0</v>
      </c>
      <c r="G39" s="222">
        <v>567.0</v>
      </c>
      <c r="H39" s="106">
        <f t="shared" si="13"/>
        <v>13475</v>
      </c>
      <c r="I39" s="69">
        <f t="shared" si="14"/>
        <v>23.7654321</v>
      </c>
      <c r="J39" s="223">
        <v>14042.0</v>
      </c>
      <c r="K39" s="191" t="s">
        <v>154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7.75" customHeight="1">
      <c r="A40" s="33" t="s">
        <v>89</v>
      </c>
      <c r="B40" s="227" t="s">
        <v>90</v>
      </c>
      <c r="C40" s="214" t="s">
        <v>91</v>
      </c>
      <c r="D40" s="36" t="s">
        <v>92</v>
      </c>
      <c r="E40" s="121" t="s">
        <v>13</v>
      </c>
      <c r="F40" s="228" t="s">
        <v>155</v>
      </c>
      <c r="G40" s="229" t="s">
        <v>155</v>
      </c>
      <c r="H40" s="124" t="s">
        <v>94</v>
      </c>
      <c r="I40" s="69"/>
      <c r="J40" s="230" t="s">
        <v>155</v>
      </c>
      <c r="K40" s="126" t="s">
        <v>95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7.75" customHeight="1">
      <c r="A41" s="42"/>
      <c r="B41" s="231" t="s">
        <v>96</v>
      </c>
      <c r="C41" s="232" t="s">
        <v>97</v>
      </c>
      <c r="D41" s="102" t="s">
        <v>98</v>
      </c>
      <c r="E41" s="102"/>
      <c r="F41" s="228"/>
      <c r="G41" s="229"/>
      <c r="H41" s="130"/>
      <c r="I41" s="69"/>
      <c r="J41" s="230"/>
      <c r="K41" s="131" t="s">
        <v>156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3.0" customHeight="1">
      <c r="A42" s="51"/>
      <c r="B42" s="233" t="s">
        <v>100</v>
      </c>
      <c r="C42" s="200" t="s">
        <v>101</v>
      </c>
      <c r="D42" s="80" t="s">
        <v>102</v>
      </c>
      <c r="E42" s="53"/>
      <c r="F42" s="234"/>
      <c r="G42" s="235"/>
      <c r="H42" s="136"/>
      <c r="I42" s="69"/>
      <c r="J42" s="236"/>
      <c r="K42" s="138" t="s">
        <v>104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1.5" customHeight="1">
      <c r="A43" s="139" t="s">
        <v>105</v>
      </c>
      <c r="B43" s="227" t="s">
        <v>106</v>
      </c>
      <c r="C43" s="214" t="s">
        <v>107</v>
      </c>
      <c r="D43" s="36" t="s">
        <v>157</v>
      </c>
      <c r="E43" s="121" t="s">
        <v>13</v>
      </c>
      <c r="F43" s="237">
        <v>0.2532072871787194</v>
      </c>
      <c r="G43" s="238">
        <v>0.26780247019984477</v>
      </c>
      <c r="H43" s="142">
        <f>-(-J43+G43)/G43</f>
        <v>0.07504609567</v>
      </c>
      <c r="I43" s="69">
        <f t="shared" ref="I43:I45" si="15">J43-G43</f>
        <v>0.0200975298</v>
      </c>
      <c r="J43" s="239">
        <v>0.2879</v>
      </c>
      <c r="K43" s="144" t="s">
        <v>158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4.75" customHeight="1">
      <c r="A44" s="145"/>
      <c r="B44" s="240" t="s">
        <v>110</v>
      </c>
      <c r="C44" s="241" t="s">
        <v>111</v>
      </c>
      <c r="D44" s="44" t="s">
        <v>112</v>
      </c>
      <c r="E44" s="102"/>
      <c r="F44" s="242">
        <v>0.30515233073543574</v>
      </c>
      <c r="G44" s="243">
        <v>0.32649688260388954</v>
      </c>
      <c r="H44" s="142">
        <f>-(-G44+F44)/F44</f>
        <v>0.06994720249</v>
      </c>
      <c r="I44" s="69">
        <f t="shared" si="15"/>
        <v>0.0255031174</v>
      </c>
      <c r="J44" s="244">
        <v>0.352</v>
      </c>
      <c r="K44" s="144" t="s">
        <v>159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3.0" customHeight="1">
      <c r="A45" s="145"/>
      <c r="B45" s="245" t="s">
        <v>113</v>
      </c>
      <c r="C45" s="185" t="s">
        <v>114</v>
      </c>
      <c r="D45" s="45" t="s">
        <v>160</v>
      </c>
      <c r="E45" s="102"/>
      <c r="F45" s="246">
        <v>0.8156348081094509</v>
      </c>
      <c r="G45" s="247">
        <v>0.8125752067790599</v>
      </c>
      <c r="H45" s="248">
        <f>-(-J45+G45)/G45</f>
        <v>-0.13060015</v>
      </c>
      <c r="I45" s="69">
        <f t="shared" si="15"/>
        <v>-0.1061224439</v>
      </c>
      <c r="J45" s="249">
        <f>59448/84150</f>
        <v>0.7064527629</v>
      </c>
      <c r="K45" s="14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1.5" customHeight="1">
      <c r="A46" s="152"/>
      <c r="B46" s="250" t="s">
        <v>116</v>
      </c>
      <c r="C46" s="251" t="s">
        <v>117</v>
      </c>
      <c r="D46" s="155" t="s">
        <v>118</v>
      </c>
      <c r="E46" s="155"/>
      <c r="F46" s="252">
        <v>951.0</v>
      </c>
      <c r="G46" s="253">
        <v>489.0</v>
      </c>
      <c r="H46" s="158">
        <f>J46-G46</f>
        <v>0</v>
      </c>
      <c r="I46" s="254">
        <f>H46/G46</f>
        <v>0</v>
      </c>
      <c r="J46" s="255">
        <v>489.0</v>
      </c>
      <c r="K46" s="256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2.75" customHeight="1">
      <c r="A47" s="161"/>
      <c r="B47" s="162"/>
      <c r="C47" s="7"/>
      <c r="D47" s="163"/>
      <c r="E47" s="7"/>
      <c r="F47" s="7"/>
      <c r="G47" s="164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2.75" customHeight="1">
      <c r="A48" s="161"/>
      <c r="B48" s="162"/>
      <c r="C48" s="7"/>
      <c r="D48" s="163"/>
      <c r="E48" s="7"/>
      <c r="F48" s="7"/>
      <c r="G48" s="164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2.75" customHeight="1">
      <c r="A49" s="161"/>
      <c r="B49" s="162"/>
      <c r="C49" s="7"/>
      <c r="D49" s="161"/>
      <c r="E49" s="7"/>
      <c r="F49" s="7"/>
      <c r="G49" s="16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2.75" customHeight="1">
      <c r="A50" s="161"/>
      <c r="B50" s="162"/>
      <c r="C50" s="7"/>
      <c r="D50" s="161"/>
      <c r="E50" s="7"/>
      <c r="F50" s="7"/>
      <c r="G50" s="16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2.75" customHeight="1">
      <c r="A51" s="161"/>
      <c r="B51" s="162"/>
      <c r="C51" s="7"/>
      <c r="D51" s="161"/>
      <c r="E51" s="7"/>
      <c r="F51" s="7"/>
      <c r="G51" s="164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2.75" customHeight="1">
      <c r="A52" s="161"/>
      <c r="B52" s="162"/>
      <c r="C52" s="7"/>
      <c r="D52" s="161"/>
      <c r="E52" s="7"/>
      <c r="F52" s="7"/>
      <c r="G52" s="164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2.75" customHeight="1">
      <c r="A53" s="161"/>
      <c r="B53" s="162"/>
      <c r="C53" s="7"/>
      <c r="D53" s="161"/>
      <c r="E53" s="7"/>
      <c r="F53" s="7"/>
      <c r="G53" s="164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2.75" customHeight="1">
      <c r="A54" s="161"/>
      <c r="B54" s="162"/>
      <c r="C54" s="7"/>
      <c r="D54" s="161"/>
      <c r="E54" s="7"/>
      <c r="F54" s="7"/>
      <c r="G54" s="164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2.75" customHeight="1">
      <c r="A55" s="161"/>
      <c r="B55" s="162"/>
      <c r="C55" s="7"/>
      <c r="D55" s="161"/>
      <c r="E55" s="7"/>
      <c r="F55" s="7"/>
      <c r="G55" s="164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2.75" customHeight="1">
      <c r="A56" s="161"/>
      <c r="B56" s="162"/>
      <c r="C56" s="7"/>
      <c r="D56" s="161"/>
      <c r="E56" s="7"/>
      <c r="F56" s="7"/>
      <c r="G56" s="164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2.75" customHeight="1">
      <c r="A57" s="161"/>
      <c r="B57" s="162"/>
      <c r="C57" s="7"/>
      <c r="D57" s="161"/>
      <c r="E57" s="7"/>
      <c r="F57" s="7"/>
      <c r="G57" s="164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2.75" customHeight="1">
      <c r="A58" s="161"/>
      <c r="B58" s="162"/>
      <c r="C58" s="7"/>
      <c r="D58" s="161"/>
      <c r="E58" s="7"/>
      <c r="F58" s="7"/>
      <c r="G58" s="164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2.75" customHeight="1">
      <c r="A59" s="161"/>
      <c r="B59" s="162"/>
      <c r="C59" s="7"/>
      <c r="D59" s="161"/>
      <c r="E59" s="7"/>
      <c r="F59" s="7"/>
      <c r="G59" s="164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2.75" customHeight="1">
      <c r="A60" s="161"/>
      <c r="B60" s="162"/>
      <c r="C60" s="7"/>
      <c r="D60" s="161"/>
      <c r="E60" s="7"/>
      <c r="F60" s="7"/>
      <c r="G60" s="164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2.75" customHeight="1">
      <c r="A61" s="161"/>
      <c r="B61" s="162"/>
      <c r="C61" s="7"/>
      <c r="D61" s="161"/>
      <c r="E61" s="7"/>
      <c r="F61" s="7"/>
      <c r="G61" s="164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2.75" customHeight="1">
      <c r="A62" s="161"/>
      <c r="B62" s="162"/>
      <c r="C62" s="7"/>
      <c r="D62" s="161"/>
      <c r="E62" s="7"/>
      <c r="F62" s="7"/>
      <c r="G62" s="164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2.75" customHeight="1">
      <c r="A63" s="161"/>
      <c r="B63" s="162"/>
      <c r="C63" s="7"/>
      <c r="D63" s="161"/>
      <c r="E63" s="7"/>
      <c r="F63" s="7"/>
      <c r="G63" s="164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2.75" customHeight="1">
      <c r="A64" s="161"/>
      <c r="B64" s="162"/>
      <c r="C64" s="7"/>
      <c r="D64" s="161"/>
      <c r="E64" s="7"/>
      <c r="F64" s="7"/>
      <c r="G64" s="164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2.75" customHeight="1">
      <c r="A65" s="161"/>
      <c r="B65" s="162"/>
      <c r="C65" s="7"/>
      <c r="D65" s="161"/>
      <c r="E65" s="7"/>
      <c r="F65" s="7"/>
      <c r="G65" s="164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2.75" customHeight="1">
      <c r="A66" s="161"/>
      <c r="B66" s="162"/>
      <c r="C66" s="7"/>
      <c r="D66" s="161"/>
      <c r="E66" s="7"/>
      <c r="F66" s="7"/>
      <c r="G66" s="164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2.75" customHeight="1">
      <c r="A67" s="161"/>
      <c r="B67" s="162"/>
      <c r="C67" s="7"/>
      <c r="D67" s="161"/>
      <c r="E67" s="7"/>
      <c r="F67" s="7"/>
      <c r="G67" s="164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2.75" customHeight="1">
      <c r="A68" s="161"/>
      <c r="B68" s="162"/>
      <c r="C68" s="7"/>
      <c r="D68" s="161"/>
      <c r="E68" s="7"/>
      <c r="F68" s="7"/>
      <c r="G68" s="164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2.75" customHeight="1">
      <c r="A69" s="161"/>
      <c r="B69" s="162"/>
      <c r="C69" s="7"/>
      <c r="D69" s="161"/>
      <c r="E69" s="7"/>
      <c r="F69" s="7"/>
      <c r="G69" s="164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2.75" customHeight="1">
      <c r="A70" s="161"/>
      <c r="B70" s="162"/>
      <c r="C70" s="7"/>
      <c r="D70" s="161"/>
      <c r="E70" s="7"/>
      <c r="F70" s="7"/>
      <c r="G70" s="164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2.75" customHeight="1">
      <c r="A71" s="161"/>
      <c r="B71" s="162"/>
      <c r="C71" s="7"/>
      <c r="D71" s="161"/>
      <c r="E71" s="7"/>
      <c r="F71" s="7"/>
      <c r="G71" s="164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2.75" customHeight="1">
      <c r="A72" s="161"/>
      <c r="B72" s="162"/>
      <c r="C72" s="7"/>
      <c r="D72" s="161"/>
      <c r="E72" s="7"/>
      <c r="F72" s="7"/>
      <c r="G72" s="164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2.75" customHeight="1">
      <c r="A73" s="161"/>
      <c r="B73" s="162"/>
      <c r="C73" s="7"/>
      <c r="D73" s="161"/>
      <c r="E73" s="7"/>
      <c r="F73" s="7"/>
      <c r="G73" s="164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2.75" customHeight="1">
      <c r="A74" s="161"/>
      <c r="B74" s="162"/>
      <c r="C74" s="7"/>
      <c r="D74" s="161"/>
      <c r="E74" s="7"/>
      <c r="F74" s="7"/>
      <c r="G74" s="164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2.75" customHeight="1">
      <c r="A75" s="161"/>
      <c r="B75" s="162"/>
      <c r="C75" s="7"/>
      <c r="D75" s="161"/>
      <c r="E75" s="7"/>
      <c r="F75" s="7"/>
      <c r="G75" s="164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2.75" customHeight="1">
      <c r="A76" s="161"/>
      <c r="B76" s="162"/>
      <c r="C76" s="7"/>
      <c r="D76" s="161"/>
      <c r="E76" s="7"/>
      <c r="F76" s="7"/>
      <c r="G76" s="164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2.75" customHeight="1">
      <c r="A77" s="161"/>
      <c r="B77" s="162"/>
      <c r="C77" s="7"/>
      <c r="D77" s="161"/>
      <c r="E77" s="7"/>
      <c r="F77" s="7"/>
      <c r="G77" s="164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2.75" customHeight="1">
      <c r="A78" s="161"/>
      <c r="B78" s="162"/>
      <c r="C78" s="7"/>
      <c r="D78" s="161"/>
      <c r="E78" s="7"/>
      <c r="F78" s="7"/>
      <c r="G78" s="164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2.75" customHeight="1">
      <c r="A79" s="161"/>
      <c r="B79" s="162"/>
      <c r="C79" s="7"/>
      <c r="D79" s="161"/>
      <c r="E79" s="7"/>
      <c r="F79" s="7"/>
      <c r="G79" s="164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2.75" customHeight="1">
      <c r="A80" s="161"/>
      <c r="B80" s="162"/>
      <c r="C80" s="7"/>
      <c r="D80" s="161"/>
      <c r="E80" s="7"/>
      <c r="F80" s="7"/>
      <c r="G80" s="164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2.75" customHeight="1">
      <c r="A81" s="161"/>
      <c r="B81" s="162"/>
      <c r="C81" s="7"/>
      <c r="D81" s="161"/>
      <c r="E81" s="7"/>
      <c r="F81" s="7"/>
      <c r="G81" s="164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2.75" customHeight="1">
      <c r="A82" s="161"/>
      <c r="B82" s="162"/>
      <c r="C82" s="7"/>
      <c r="D82" s="161"/>
      <c r="E82" s="7"/>
      <c r="F82" s="7"/>
      <c r="G82" s="164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2.75" customHeight="1">
      <c r="A83" s="161"/>
      <c r="B83" s="162"/>
      <c r="C83" s="7"/>
      <c r="D83" s="161"/>
      <c r="E83" s="7"/>
      <c r="F83" s="7"/>
      <c r="G83" s="164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2.75" customHeight="1">
      <c r="A84" s="161"/>
      <c r="B84" s="162"/>
      <c r="C84" s="7"/>
      <c r="D84" s="161"/>
      <c r="E84" s="7"/>
      <c r="F84" s="7"/>
      <c r="G84" s="164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2.75" customHeight="1">
      <c r="A85" s="161"/>
      <c r="B85" s="162"/>
      <c r="C85" s="7"/>
      <c r="D85" s="161"/>
      <c r="E85" s="7"/>
      <c r="F85" s="7"/>
      <c r="G85" s="164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2.75" customHeight="1">
      <c r="A86" s="161"/>
      <c r="B86" s="162"/>
      <c r="C86" s="7"/>
      <c r="D86" s="161"/>
      <c r="E86" s="7"/>
      <c r="F86" s="7"/>
      <c r="G86" s="164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2.75" customHeight="1">
      <c r="A87" s="161"/>
      <c r="B87" s="162"/>
      <c r="C87" s="7"/>
      <c r="D87" s="161"/>
      <c r="E87" s="7"/>
      <c r="F87" s="7"/>
      <c r="G87" s="164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2.75" customHeight="1">
      <c r="A88" s="161"/>
      <c r="B88" s="162"/>
      <c r="C88" s="7"/>
      <c r="D88" s="161"/>
      <c r="E88" s="7"/>
      <c r="F88" s="7"/>
      <c r="G88" s="164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2.75" customHeight="1">
      <c r="A89" s="161"/>
      <c r="B89" s="162"/>
      <c r="C89" s="7"/>
      <c r="D89" s="161"/>
      <c r="E89" s="7"/>
      <c r="F89" s="7"/>
      <c r="G89" s="164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2.75" customHeight="1">
      <c r="A90" s="161"/>
      <c r="B90" s="162"/>
      <c r="C90" s="7"/>
      <c r="D90" s="161"/>
      <c r="E90" s="7"/>
      <c r="F90" s="7"/>
      <c r="G90" s="164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2.75" customHeight="1">
      <c r="A91" s="161"/>
      <c r="B91" s="162"/>
      <c r="C91" s="7"/>
      <c r="D91" s="161"/>
      <c r="E91" s="7"/>
      <c r="F91" s="7"/>
      <c r="G91" s="164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2.75" customHeight="1">
      <c r="A92" s="161"/>
      <c r="B92" s="162"/>
      <c r="C92" s="7"/>
      <c r="D92" s="161"/>
      <c r="E92" s="7"/>
      <c r="F92" s="7"/>
      <c r="G92" s="164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2.75" customHeight="1">
      <c r="A93" s="161"/>
      <c r="B93" s="162"/>
      <c r="C93" s="7"/>
      <c r="D93" s="161"/>
      <c r="E93" s="7"/>
      <c r="F93" s="7"/>
      <c r="G93" s="164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75" customHeight="1">
      <c r="A94" s="161"/>
      <c r="B94" s="162"/>
      <c r="C94" s="7"/>
      <c r="D94" s="161"/>
      <c r="E94" s="7"/>
      <c r="F94" s="7"/>
      <c r="G94" s="164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2.75" customHeight="1">
      <c r="A95" s="161"/>
      <c r="B95" s="162"/>
      <c r="C95" s="7"/>
      <c r="D95" s="161"/>
      <c r="E95" s="7"/>
      <c r="F95" s="7"/>
      <c r="G95" s="164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2.75" customHeight="1">
      <c r="A96" s="161"/>
      <c r="B96" s="162"/>
      <c r="C96" s="7"/>
      <c r="D96" s="161"/>
      <c r="E96" s="7"/>
      <c r="F96" s="7"/>
      <c r="G96" s="164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75" customHeight="1">
      <c r="A97" s="161"/>
      <c r="B97" s="162"/>
      <c r="C97" s="7"/>
      <c r="D97" s="161"/>
      <c r="E97" s="7"/>
      <c r="F97" s="7"/>
      <c r="G97" s="164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2.75" customHeight="1">
      <c r="A98" s="161"/>
      <c r="B98" s="162"/>
      <c r="C98" s="7"/>
      <c r="D98" s="161"/>
      <c r="E98" s="7"/>
      <c r="F98" s="7"/>
      <c r="G98" s="164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2.75" customHeight="1">
      <c r="A99" s="161"/>
      <c r="B99" s="162"/>
      <c r="C99" s="7"/>
      <c r="D99" s="161"/>
      <c r="E99" s="7"/>
      <c r="F99" s="7"/>
      <c r="G99" s="164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2.75" customHeight="1">
      <c r="A100" s="161"/>
      <c r="B100" s="162"/>
      <c r="C100" s="7"/>
      <c r="D100" s="161"/>
      <c r="E100" s="7"/>
      <c r="F100" s="7"/>
      <c r="G100" s="164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2.75" customHeight="1">
      <c r="A101" s="161"/>
      <c r="B101" s="162"/>
      <c r="C101" s="7"/>
      <c r="D101" s="161"/>
      <c r="E101" s="7"/>
      <c r="F101" s="7"/>
      <c r="G101" s="164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2.75" customHeight="1">
      <c r="A102" s="161"/>
      <c r="B102" s="162"/>
      <c r="C102" s="7"/>
      <c r="D102" s="161"/>
      <c r="E102" s="7"/>
      <c r="F102" s="7"/>
      <c r="G102" s="164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2.75" customHeight="1">
      <c r="A103" s="161"/>
      <c r="B103" s="162"/>
      <c r="C103" s="7"/>
      <c r="D103" s="161"/>
      <c r="E103" s="7"/>
      <c r="F103" s="7"/>
      <c r="G103" s="164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2.75" customHeight="1">
      <c r="A104" s="161"/>
      <c r="B104" s="162"/>
      <c r="C104" s="7"/>
      <c r="D104" s="161"/>
      <c r="E104" s="7"/>
      <c r="F104" s="7"/>
      <c r="G104" s="164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2.75" customHeight="1">
      <c r="A105" s="161"/>
      <c r="B105" s="162"/>
      <c r="C105" s="7"/>
      <c r="D105" s="161"/>
      <c r="E105" s="7"/>
      <c r="F105" s="7"/>
      <c r="G105" s="164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2.75" customHeight="1">
      <c r="A106" s="161"/>
      <c r="B106" s="162"/>
      <c r="C106" s="7"/>
      <c r="D106" s="161"/>
      <c r="E106" s="7"/>
      <c r="F106" s="7"/>
      <c r="G106" s="164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2.75" customHeight="1">
      <c r="A107" s="161"/>
      <c r="B107" s="162"/>
      <c r="C107" s="7"/>
      <c r="D107" s="161"/>
      <c r="E107" s="7"/>
      <c r="F107" s="7"/>
      <c r="G107" s="164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2.75" customHeight="1">
      <c r="A108" s="161"/>
      <c r="B108" s="162"/>
      <c r="C108" s="7"/>
      <c r="D108" s="161"/>
      <c r="E108" s="7"/>
      <c r="F108" s="7"/>
      <c r="G108" s="164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75" customHeight="1">
      <c r="A109" s="161"/>
      <c r="B109" s="162"/>
      <c r="C109" s="7"/>
      <c r="D109" s="161"/>
      <c r="E109" s="7"/>
      <c r="F109" s="7"/>
      <c r="G109" s="164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2.75" customHeight="1">
      <c r="A110" s="161"/>
      <c r="B110" s="162"/>
      <c r="C110" s="7"/>
      <c r="D110" s="161"/>
      <c r="E110" s="7"/>
      <c r="F110" s="7"/>
      <c r="G110" s="164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2.75" customHeight="1">
      <c r="A111" s="161"/>
      <c r="B111" s="162"/>
      <c r="C111" s="7"/>
      <c r="D111" s="161"/>
      <c r="E111" s="7"/>
      <c r="F111" s="7"/>
      <c r="G111" s="164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2.75" customHeight="1">
      <c r="A112" s="161"/>
      <c r="B112" s="162"/>
      <c r="C112" s="7"/>
      <c r="D112" s="161"/>
      <c r="E112" s="7"/>
      <c r="F112" s="7"/>
      <c r="G112" s="164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75" customHeight="1">
      <c r="A113" s="161"/>
      <c r="B113" s="162"/>
      <c r="C113" s="7"/>
      <c r="D113" s="161"/>
      <c r="E113" s="7"/>
      <c r="F113" s="7"/>
      <c r="G113" s="164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2.75" customHeight="1">
      <c r="A114" s="161"/>
      <c r="B114" s="162"/>
      <c r="C114" s="7"/>
      <c r="D114" s="161"/>
      <c r="E114" s="7"/>
      <c r="F114" s="7"/>
      <c r="G114" s="164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2.75" customHeight="1">
      <c r="A115" s="161"/>
      <c r="B115" s="162"/>
      <c r="C115" s="7"/>
      <c r="D115" s="161"/>
      <c r="E115" s="7"/>
      <c r="F115" s="7"/>
      <c r="G115" s="164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2.75" customHeight="1">
      <c r="A116" s="161"/>
      <c r="B116" s="162"/>
      <c r="C116" s="7"/>
      <c r="D116" s="161"/>
      <c r="E116" s="7"/>
      <c r="F116" s="7"/>
      <c r="G116" s="164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2.75" customHeight="1">
      <c r="A117" s="161"/>
      <c r="B117" s="162"/>
      <c r="C117" s="7"/>
      <c r="D117" s="161"/>
      <c r="E117" s="7"/>
      <c r="F117" s="7"/>
      <c r="G117" s="164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2.75" customHeight="1">
      <c r="A118" s="161"/>
      <c r="B118" s="162"/>
      <c r="C118" s="7"/>
      <c r="D118" s="161"/>
      <c r="E118" s="7"/>
      <c r="F118" s="7"/>
      <c r="G118" s="164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2.75" customHeight="1">
      <c r="A119" s="161"/>
      <c r="B119" s="162"/>
      <c r="C119" s="7"/>
      <c r="D119" s="161"/>
      <c r="E119" s="7"/>
      <c r="F119" s="7"/>
      <c r="G119" s="164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2.75" customHeight="1">
      <c r="A120" s="161"/>
      <c r="B120" s="162"/>
      <c r="C120" s="7"/>
      <c r="D120" s="161"/>
      <c r="E120" s="7"/>
      <c r="F120" s="7"/>
      <c r="G120" s="164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75" customHeight="1">
      <c r="A121" s="161"/>
      <c r="B121" s="162"/>
      <c r="C121" s="7"/>
      <c r="D121" s="161"/>
      <c r="E121" s="7"/>
      <c r="F121" s="7"/>
      <c r="G121" s="164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2.75" customHeight="1">
      <c r="A122" s="161"/>
      <c r="B122" s="162"/>
      <c r="C122" s="7"/>
      <c r="D122" s="161"/>
      <c r="E122" s="7"/>
      <c r="F122" s="7"/>
      <c r="G122" s="164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2.75" customHeight="1">
      <c r="A123" s="161"/>
      <c r="B123" s="162"/>
      <c r="C123" s="7"/>
      <c r="D123" s="161"/>
      <c r="E123" s="7"/>
      <c r="F123" s="7"/>
      <c r="G123" s="164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2.75" customHeight="1">
      <c r="A124" s="161"/>
      <c r="B124" s="162"/>
      <c r="C124" s="7"/>
      <c r="D124" s="161"/>
      <c r="E124" s="7"/>
      <c r="F124" s="7"/>
      <c r="G124" s="164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2.75" customHeight="1">
      <c r="A125" s="161"/>
      <c r="B125" s="162"/>
      <c r="C125" s="7"/>
      <c r="D125" s="161"/>
      <c r="E125" s="7"/>
      <c r="F125" s="7"/>
      <c r="G125" s="164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2.75" customHeight="1">
      <c r="A126" s="161"/>
      <c r="B126" s="162"/>
      <c r="C126" s="7"/>
      <c r="D126" s="161"/>
      <c r="E126" s="7"/>
      <c r="F126" s="7"/>
      <c r="G126" s="164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2.75" customHeight="1">
      <c r="A127" s="161"/>
      <c r="B127" s="162"/>
      <c r="C127" s="7"/>
      <c r="D127" s="161"/>
      <c r="E127" s="7"/>
      <c r="F127" s="7"/>
      <c r="G127" s="164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2.75" customHeight="1">
      <c r="A128" s="161"/>
      <c r="B128" s="162"/>
      <c r="C128" s="7"/>
      <c r="D128" s="161"/>
      <c r="E128" s="7"/>
      <c r="F128" s="7"/>
      <c r="G128" s="164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2.75" customHeight="1">
      <c r="A129" s="161"/>
      <c r="B129" s="162"/>
      <c r="C129" s="7"/>
      <c r="D129" s="161"/>
      <c r="E129" s="7"/>
      <c r="F129" s="7"/>
      <c r="G129" s="164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2.75" customHeight="1">
      <c r="A130" s="161"/>
      <c r="B130" s="162"/>
      <c r="C130" s="7"/>
      <c r="D130" s="161"/>
      <c r="E130" s="7"/>
      <c r="F130" s="7"/>
      <c r="G130" s="164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2.75" customHeight="1">
      <c r="A131" s="161"/>
      <c r="B131" s="162"/>
      <c r="C131" s="7"/>
      <c r="D131" s="161"/>
      <c r="E131" s="7"/>
      <c r="F131" s="7"/>
      <c r="G131" s="164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2.75" customHeight="1">
      <c r="A132" s="161"/>
      <c r="B132" s="162"/>
      <c r="C132" s="7"/>
      <c r="D132" s="161"/>
      <c r="E132" s="7"/>
      <c r="F132" s="7"/>
      <c r="G132" s="164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2.75" customHeight="1">
      <c r="A133" s="161"/>
      <c r="B133" s="162"/>
      <c r="C133" s="7"/>
      <c r="D133" s="161"/>
      <c r="E133" s="7"/>
      <c r="F133" s="7"/>
      <c r="G133" s="164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2.75" customHeight="1">
      <c r="A134" s="161"/>
      <c r="B134" s="162"/>
      <c r="C134" s="7"/>
      <c r="D134" s="161"/>
      <c r="E134" s="7"/>
      <c r="F134" s="7"/>
      <c r="G134" s="164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2.75" customHeight="1">
      <c r="A135" s="161"/>
      <c r="B135" s="162"/>
      <c r="C135" s="7"/>
      <c r="D135" s="161"/>
      <c r="E135" s="7"/>
      <c r="F135" s="7"/>
      <c r="G135" s="164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2.75" customHeight="1">
      <c r="A136" s="161"/>
      <c r="B136" s="162"/>
      <c r="C136" s="7"/>
      <c r="D136" s="161"/>
      <c r="E136" s="7"/>
      <c r="F136" s="7"/>
      <c r="G136" s="164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2.75" customHeight="1">
      <c r="A137" s="161"/>
      <c r="B137" s="162"/>
      <c r="C137" s="7"/>
      <c r="D137" s="161"/>
      <c r="E137" s="7"/>
      <c r="F137" s="7"/>
      <c r="G137" s="164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2.75" customHeight="1">
      <c r="A138" s="161"/>
      <c r="B138" s="162"/>
      <c r="C138" s="7"/>
      <c r="D138" s="161"/>
      <c r="E138" s="7"/>
      <c r="F138" s="7"/>
      <c r="G138" s="164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2.75" customHeight="1">
      <c r="A139" s="161"/>
      <c r="B139" s="162"/>
      <c r="C139" s="7"/>
      <c r="D139" s="161"/>
      <c r="E139" s="7"/>
      <c r="F139" s="7"/>
      <c r="G139" s="164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2.75" customHeight="1">
      <c r="A140" s="161"/>
      <c r="B140" s="162"/>
      <c r="C140" s="7"/>
      <c r="D140" s="161"/>
      <c r="E140" s="7"/>
      <c r="F140" s="7"/>
      <c r="G140" s="164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2.75" customHeight="1">
      <c r="A141" s="161"/>
      <c r="B141" s="162"/>
      <c r="C141" s="7"/>
      <c r="D141" s="161"/>
      <c r="E141" s="7"/>
      <c r="F141" s="7"/>
      <c r="G141" s="164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2.75" customHeight="1">
      <c r="A142" s="161"/>
      <c r="B142" s="162"/>
      <c r="C142" s="7"/>
      <c r="D142" s="161"/>
      <c r="E142" s="7"/>
      <c r="F142" s="7"/>
      <c r="G142" s="164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2.75" customHeight="1">
      <c r="A143" s="161"/>
      <c r="B143" s="162"/>
      <c r="C143" s="7"/>
      <c r="D143" s="161"/>
      <c r="E143" s="7"/>
      <c r="F143" s="7"/>
      <c r="G143" s="164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2.75" customHeight="1">
      <c r="A144" s="161"/>
      <c r="B144" s="162"/>
      <c r="C144" s="7"/>
      <c r="D144" s="161"/>
      <c r="E144" s="7"/>
      <c r="F144" s="7"/>
      <c r="G144" s="164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2.75" customHeight="1">
      <c r="A145" s="161"/>
      <c r="B145" s="162"/>
      <c r="C145" s="7"/>
      <c r="D145" s="161"/>
      <c r="E145" s="7"/>
      <c r="F145" s="7"/>
      <c r="G145" s="164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2.75" customHeight="1">
      <c r="A146" s="161"/>
      <c r="B146" s="162"/>
      <c r="C146" s="7"/>
      <c r="D146" s="161"/>
      <c r="E146" s="7"/>
      <c r="F146" s="7"/>
      <c r="G146" s="164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2.75" customHeight="1">
      <c r="A147" s="161"/>
      <c r="B147" s="162"/>
      <c r="C147" s="7"/>
      <c r="D147" s="161"/>
      <c r="E147" s="7"/>
      <c r="F147" s="7"/>
      <c r="G147" s="164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2.75" customHeight="1">
      <c r="A148" s="161"/>
      <c r="B148" s="162"/>
      <c r="C148" s="7"/>
      <c r="D148" s="161"/>
      <c r="E148" s="7"/>
      <c r="F148" s="7"/>
      <c r="G148" s="164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2.75" customHeight="1">
      <c r="A149" s="161"/>
      <c r="B149" s="162"/>
      <c r="C149" s="7"/>
      <c r="D149" s="161"/>
      <c r="E149" s="7"/>
      <c r="F149" s="7"/>
      <c r="G149" s="164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2.75" customHeight="1">
      <c r="A150" s="161"/>
      <c r="B150" s="162"/>
      <c r="C150" s="7"/>
      <c r="D150" s="161"/>
      <c r="E150" s="7"/>
      <c r="F150" s="7"/>
      <c r="G150" s="164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2.75" customHeight="1">
      <c r="A151" s="161"/>
      <c r="B151" s="162"/>
      <c r="C151" s="7"/>
      <c r="D151" s="161"/>
      <c r="E151" s="7"/>
      <c r="F151" s="7"/>
      <c r="G151" s="164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2.75" customHeight="1">
      <c r="A152" s="161"/>
      <c r="B152" s="162"/>
      <c r="C152" s="7"/>
      <c r="D152" s="161"/>
      <c r="E152" s="7"/>
      <c r="F152" s="7"/>
      <c r="G152" s="164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2.75" customHeight="1">
      <c r="A153" s="161"/>
      <c r="B153" s="162"/>
      <c r="C153" s="7"/>
      <c r="D153" s="161"/>
      <c r="E153" s="7"/>
      <c r="F153" s="7"/>
      <c r="G153" s="164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2.75" customHeight="1">
      <c r="A154" s="161"/>
      <c r="B154" s="162"/>
      <c r="C154" s="7"/>
      <c r="D154" s="161"/>
      <c r="E154" s="7"/>
      <c r="F154" s="7"/>
      <c r="G154" s="164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2.75" customHeight="1">
      <c r="A155" s="161"/>
      <c r="B155" s="162"/>
      <c r="C155" s="7"/>
      <c r="D155" s="161"/>
      <c r="E155" s="7"/>
      <c r="F155" s="7"/>
      <c r="G155" s="164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2.75" customHeight="1">
      <c r="A156" s="161"/>
      <c r="B156" s="162"/>
      <c r="C156" s="7"/>
      <c r="D156" s="161"/>
      <c r="E156" s="7"/>
      <c r="F156" s="7"/>
      <c r="G156" s="164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2.75" customHeight="1">
      <c r="A157" s="161"/>
      <c r="B157" s="162"/>
      <c r="C157" s="7"/>
      <c r="D157" s="161"/>
      <c r="E157" s="7"/>
      <c r="F157" s="7"/>
      <c r="G157" s="164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2.75" customHeight="1">
      <c r="A158" s="161"/>
      <c r="B158" s="162"/>
      <c r="C158" s="7"/>
      <c r="D158" s="161"/>
      <c r="E158" s="7"/>
      <c r="F158" s="7"/>
      <c r="G158" s="164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2.75" customHeight="1">
      <c r="A159" s="161"/>
      <c r="B159" s="162"/>
      <c r="C159" s="7"/>
      <c r="D159" s="161"/>
      <c r="E159" s="7"/>
      <c r="F159" s="7"/>
      <c r="G159" s="164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2.75" customHeight="1">
      <c r="A160" s="161"/>
      <c r="B160" s="162"/>
      <c r="C160" s="7"/>
      <c r="D160" s="161"/>
      <c r="E160" s="7"/>
      <c r="F160" s="7"/>
      <c r="G160" s="164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2.75" customHeight="1">
      <c r="A161" s="161"/>
      <c r="B161" s="162"/>
      <c r="C161" s="7"/>
      <c r="D161" s="161"/>
      <c r="E161" s="7"/>
      <c r="F161" s="7"/>
      <c r="G161" s="164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2.75" customHeight="1">
      <c r="A162" s="161"/>
      <c r="B162" s="162"/>
      <c r="C162" s="7"/>
      <c r="D162" s="161"/>
      <c r="E162" s="7"/>
      <c r="F162" s="7"/>
      <c r="G162" s="164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2.75" customHeight="1">
      <c r="A163" s="161"/>
      <c r="B163" s="162"/>
      <c r="C163" s="7"/>
      <c r="D163" s="161"/>
      <c r="E163" s="7"/>
      <c r="F163" s="7"/>
      <c r="G163" s="164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2.75" customHeight="1">
      <c r="A164" s="161"/>
      <c r="B164" s="162"/>
      <c r="C164" s="7"/>
      <c r="D164" s="161"/>
      <c r="E164" s="7"/>
      <c r="F164" s="7"/>
      <c r="G164" s="164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2.75" customHeight="1">
      <c r="A165" s="161"/>
      <c r="B165" s="162"/>
      <c r="C165" s="7"/>
      <c r="D165" s="161"/>
      <c r="E165" s="7"/>
      <c r="F165" s="7"/>
      <c r="G165" s="164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2.75" customHeight="1">
      <c r="A166" s="161"/>
      <c r="B166" s="162"/>
      <c r="C166" s="7"/>
      <c r="D166" s="161"/>
      <c r="E166" s="7"/>
      <c r="F166" s="7"/>
      <c r="G166" s="164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2.75" customHeight="1">
      <c r="A167" s="161"/>
      <c r="B167" s="162"/>
      <c r="C167" s="7"/>
      <c r="D167" s="161"/>
      <c r="E167" s="7"/>
      <c r="F167" s="7"/>
      <c r="G167" s="164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2.75" customHeight="1">
      <c r="A168" s="161"/>
      <c r="B168" s="162"/>
      <c r="C168" s="7"/>
      <c r="D168" s="161"/>
      <c r="E168" s="7"/>
      <c r="F168" s="7"/>
      <c r="G168" s="164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2.75" customHeight="1">
      <c r="A169" s="161"/>
      <c r="B169" s="162"/>
      <c r="C169" s="7"/>
      <c r="D169" s="161"/>
      <c r="E169" s="7"/>
      <c r="F169" s="7"/>
      <c r="G169" s="164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2.75" customHeight="1">
      <c r="A170" s="161"/>
      <c r="B170" s="162"/>
      <c r="C170" s="7"/>
      <c r="D170" s="161"/>
      <c r="E170" s="7"/>
      <c r="F170" s="7"/>
      <c r="G170" s="164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2.75" customHeight="1">
      <c r="A171" s="161"/>
      <c r="B171" s="162"/>
      <c r="C171" s="7"/>
      <c r="D171" s="161"/>
      <c r="E171" s="7"/>
      <c r="F171" s="7"/>
      <c r="G171" s="164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2.75" customHeight="1">
      <c r="A172" s="161"/>
      <c r="B172" s="162"/>
      <c r="C172" s="7"/>
      <c r="D172" s="161"/>
      <c r="E172" s="7"/>
      <c r="F172" s="7"/>
      <c r="G172" s="164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2.75" customHeight="1">
      <c r="A173" s="161"/>
      <c r="B173" s="162"/>
      <c r="C173" s="7"/>
      <c r="D173" s="161"/>
      <c r="E173" s="7"/>
      <c r="F173" s="7"/>
      <c r="G173" s="164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2.75" customHeight="1">
      <c r="A174" s="161"/>
      <c r="B174" s="162"/>
      <c r="C174" s="7"/>
      <c r="D174" s="161"/>
      <c r="E174" s="7"/>
      <c r="F174" s="7"/>
      <c r="G174" s="164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2.75" customHeight="1">
      <c r="A175" s="161"/>
      <c r="B175" s="162"/>
      <c r="C175" s="7"/>
      <c r="D175" s="161"/>
      <c r="E175" s="7"/>
      <c r="F175" s="7"/>
      <c r="G175" s="164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2.75" customHeight="1">
      <c r="A176" s="161"/>
      <c r="B176" s="162"/>
      <c r="C176" s="7"/>
      <c r="D176" s="161"/>
      <c r="E176" s="7"/>
      <c r="F176" s="7"/>
      <c r="G176" s="164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2.75" customHeight="1">
      <c r="A177" s="161"/>
      <c r="B177" s="162"/>
      <c r="C177" s="7"/>
      <c r="D177" s="161"/>
      <c r="E177" s="7"/>
      <c r="F177" s="7"/>
      <c r="G177" s="164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2.75" customHeight="1">
      <c r="A178" s="161"/>
      <c r="B178" s="162"/>
      <c r="C178" s="7"/>
      <c r="D178" s="161"/>
      <c r="E178" s="7"/>
      <c r="F178" s="7"/>
      <c r="G178" s="164"/>
      <c r="H178" s="7"/>
      <c r="I178" s="7"/>
      <c r="J178" s="25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2.75" customHeight="1">
      <c r="A179" s="161"/>
      <c r="B179" s="162"/>
      <c r="C179" s="7"/>
      <c r="D179" s="161"/>
      <c r="E179" s="7"/>
      <c r="F179" s="7"/>
      <c r="G179" s="164"/>
      <c r="H179" s="7"/>
      <c r="I179" s="7"/>
      <c r="J179" s="25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2.75" customHeight="1">
      <c r="A180" s="161"/>
      <c r="B180" s="162"/>
      <c r="C180" s="7"/>
      <c r="D180" s="161"/>
      <c r="E180" s="7"/>
      <c r="F180" s="7"/>
      <c r="G180" s="164"/>
      <c r="H180" s="7"/>
      <c r="I180" s="7"/>
      <c r="J180" s="25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2.75" customHeight="1">
      <c r="A181" s="161"/>
      <c r="B181" s="162"/>
      <c r="C181" s="7"/>
      <c r="D181" s="161"/>
      <c r="E181" s="7"/>
      <c r="F181" s="7"/>
      <c r="G181" s="164"/>
      <c r="H181" s="7"/>
      <c r="I181" s="7"/>
      <c r="J181" s="25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2.75" customHeight="1">
      <c r="A182" s="161"/>
      <c r="B182" s="162"/>
      <c r="C182" s="7"/>
      <c r="D182" s="161"/>
      <c r="E182" s="7"/>
      <c r="F182" s="7"/>
      <c r="G182" s="164"/>
      <c r="H182" s="7"/>
      <c r="I182" s="7"/>
      <c r="J182" s="25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2.75" customHeight="1">
      <c r="A183" s="161"/>
      <c r="B183" s="162"/>
      <c r="C183" s="7"/>
      <c r="D183" s="161"/>
      <c r="E183" s="7"/>
      <c r="F183" s="7"/>
      <c r="G183" s="164"/>
      <c r="H183" s="7"/>
      <c r="I183" s="7"/>
      <c r="J183" s="25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2.75" customHeight="1">
      <c r="A184" s="161"/>
      <c r="B184" s="162"/>
      <c r="C184" s="7"/>
      <c r="D184" s="161"/>
      <c r="E184" s="7"/>
      <c r="F184" s="7"/>
      <c r="G184" s="164"/>
      <c r="H184" s="7"/>
      <c r="I184" s="7"/>
      <c r="J184" s="25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2.75" customHeight="1">
      <c r="A185" s="161"/>
      <c r="B185" s="162"/>
      <c r="C185" s="7"/>
      <c r="D185" s="161"/>
      <c r="E185" s="7"/>
      <c r="F185" s="7"/>
      <c r="G185" s="164"/>
      <c r="H185" s="7"/>
      <c r="I185" s="7"/>
      <c r="J185" s="25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2.75" customHeight="1">
      <c r="A186" s="161"/>
      <c r="B186" s="162"/>
      <c r="C186" s="7"/>
      <c r="D186" s="161"/>
      <c r="E186" s="7"/>
      <c r="F186" s="7"/>
      <c r="G186" s="164"/>
      <c r="H186" s="7"/>
      <c r="I186" s="7"/>
      <c r="J186" s="25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2.75" customHeight="1">
      <c r="A187" s="161"/>
      <c r="B187" s="162"/>
      <c r="C187" s="7"/>
      <c r="D187" s="161"/>
      <c r="E187" s="7"/>
      <c r="F187" s="7"/>
      <c r="G187" s="164"/>
      <c r="H187" s="7"/>
      <c r="I187" s="7"/>
      <c r="J187" s="25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2.75" customHeight="1">
      <c r="A188" s="161"/>
      <c r="B188" s="162"/>
      <c r="C188" s="7"/>
      <c r="D188" s="161"/>
      <c r="E188" s="7"/>
      <c r="F188" s="7"/>
      <c r="G188" s="164"/>
      <c r="H188" s="7"/>
      <c r="I188" s="7"/>
      <c r="J188" s="25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2.75" customHeight="1">
      <c r="A189" s="161"/>
      <c r="B189" s="162"/>
      <c r="C189" s="7"/>
      <c r="D189" s="161"/>
      <c r="E189" s="7"/>
      <c r="F189" s="7"/>
      <c r="G189" s="164"/>
      <c r="H189" s="7"/>
      <c r="I189" s="7"/>
      <c r="J189" s="25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2.75" customHeight="1">
      <c r="A190" s="161"/>
      <c r="B190" s="162"/>
      <c r="C190" s="7"/>
      <c r="D190" s="161"/>
      <c r="E190" s="7"/>
      <c r="F190" s="7"/>
      <c r="G190" s="164"/>
      <c r="H190" s="7"/>
      <c r="I190" s="7"/>
      <c r="J190" s="25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2.75" customHeight="1">
      <c r="A191" s="161"/>
      <c r="B191" s="162"/>
      <c r="C191" s="7"/>
      <c r="D191" s="161"/>
      <c r="E191" s="7"/>
      <c r="F191" s="7"/>
      <c r="G191" s="164"/>
      <c r="H191" s="7"/>
      <c r="I191" s="7"/>
      <c r="J191" s="25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2.75" customHeight="1">
      <c r="A192" s="161"/>
      <c r="B192" s="162"/>
      <c r="C192" s="7"/>
      <c r="D192" s="161"/>
      <c r="E192" s="7"/>
      <c r="F192" s="7"/>
      <c r="G192" s="164"/>
      <c r="H192" s="7"/>
      <c r="I192" s="7"/>
      <c r="J192" s="25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2.75" customHeight="1">
      <c r="A193" s="161"/>
      <c r="B193" s="162"/>
      <c r="C193" s="7"/>
      <c r="D193" s="161"/>
      <c r="E193" s="7"/>
      <c r="F193" s="7"/>
      <c r="G193" s="164"/>
      <c r="H193" s="7"/>
      <c r="I193" s="7"/>
      <c r="J193" s="25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2.75" customHeight="1">
      <c r="A194" s="161"/>
      <c r="B194" s="162"/>
      <c r="C194" s="7"/>
      <c r="D194" s="161"/>
      <c r="E194" s="7"/>
      <c r="F194" s="7"/>
      <c r="G194" s="164"/>
      <c r="H194" s="7"/>
      <c r="I194" s="7"/>
      <c r="J194" s="25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2.75" customHeight="1">
      <c r="A195" s="161"/>
      <c r="B195" s="162"/>
      <c r="C195" s="7"/>
      <c r="D195" s="161"/>
      <c r="E195" s="7"/>
      <c r="F195" s="7"/>
      <c r="G195" s="164"/>
      <c r="H195" s="7"/>
      <c r="I195" s="7"/>
      <c r="J195" s="25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2.75" customHeight="1">
      <c r="A196" s="161"/>
      <c r="B196" s="162"/>
      <c r="C196" s="7"/>
      <c r="D196" s="161"/>
      <c r="E196" s="7"/>
      <c r="F196" s="7"/>
      <c r="G196" s="164"/>
      <c r="H196" s="7"/>
      <c r="I196" s="7"/>
      <c r="J196" s="25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2.75" customHeight="1">
      <c r="A197" s="161"/>
      <c r="B197" s="162"/>
      <c r="C197" s="7"/>
      <c r="D197" s="161"/>
      <c r="E197" s="7"/>
      <c r="F197" s="7"/>
      <c r="G197" s="164"/>
      <c r="H197" s="7"/>
      <c r="I197" s="7"/>
      <c r="J197" s="25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2.75" customHeight="1">
      <c r="A198" s="161"/>
      <c r="B198" s="162"/>
      <c r="C198" s="7"/>
      <c r="D198" s="161"/>
      <c r="E198" s="7"/>
      <c r="F198" s="7"/>
      <c r="G198" s="164"/>
      <c r="H198" s="7"/>
      <c r="I198" s="7"/>
      <c r="J198" s="25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2.75" customHeight="1">
      <c r="A199" s="161"/>
      <c r="B199" s="162"/>
      <c r="C199" s="7"/>
      <c r="D199" s="161"/>
      <c r="E199" s="7"/>
      <c r="F199" s="7"/>
      <c r="G199" s="164"/>
      <c r="H199" s="7"/>
      <c r="I199" s="7"/>
      <c r="J199" s="25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2.75" customHeight="1">
      <c r="A200" s="161"/>
      <c r="B200" s="162"/>
      <c r="C200" s="7"/>
      <c r="D200" s="161"/>
      <c r="E200" s="7"/>
      <c r="F200" s="7"/>
      <c r="G200" s="164"/>
      <c r="H200" s="7"/>
      <c r="I200" s="7"/>
      <c r="J200" s="25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2.75" customHeight="1">
      <c r="A201" s="161"/>
      <c r="B201" s="162"/>
      <c r="C201" s="7"/>
      <c r="D201" s="161"/>
      <c r="E201" s="7"/>
      <c r="F201" s="7"/>
      <c r="G201" s="164"/>
      <c r="H201" s="7"/>
      <c r="I201" s="7"/>
      <c r="J201" s="25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2.75" customHeight="1">
      <c r="A202" s="161"/>
      <c r="B202" s="162"/>
      <c r="C202" s="7"/>
      <c r="D202" s="161"/>
      <c r="E202" s="7"/>
      <c r="F202" s="7"/>
      <c r="G202" s="164"/>
      <c r="H202" s="7"/>
      <c r="I202" s="7"/>
      <c r="J202" s="25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2.75" customHeight="1">
      <c r="A203" s="161"/>
      <c r="B203" s="162"/>
      <c r="C203" s="7"/>
      <c r="D203" s="161"/>
      <c r="E203" s="7"/>
      <c r="F203" s="7"/>
      <c r="G203" s="164"/>
      <c r="H203" s="7"/>
      <c r="I203" s="7"/>
      <c r="J203" s="25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2.75" customHeight="1">
      <c r="A204" s="161"/>
      <c r="B204" s="162"/>
      <c r="C204" s="7"/>
      <c r="D204" s="161"/>
      <c r="E204" s="7"/>
      <c r="F204" s="7"/>
      <c r="G204" s="164"/>
      <c r="H204" s="7"/>
      <c r="I204" s="7"/>
      <c r="J204" s="25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2.75" customHeight="1">
      <c r="A205" s="161"/>
      <c r="B205" s="162"/>
      <c r="C205" s="7"/>
      <c r="D205" s="161"/>
      <c r="E205" s="7"/>
      <c r="F205" s="7"/>
      <c r="G205" s="164"/>
      <c r="H205" s="7"/>
      <c r="I205" s="7"/>
      <c r="J205" s="25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2.75" customHeight="1">
      <c r="A206" s="161"/>
      <c r="B206" s="162"/>
      <c r="C206" s="7"/>
      <c r="D206" s="161"/>
      <c r="E206" s="7"/>
      <c r="F206" s="7"/>
      <c r="G206" s="164"/>
      <c r="H206" s="7"/>
      <c r="I206" s="7"/>
      <c r="J206" s="25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2.75" customHeight="1">
      <c r="A207" s="161"/>
      <c r="B207" s="162"/>
      <c r="C207" s="7"/>
      <c r="D207" s="161"/>
      <c r="E207" s="7"/>
      <c r="F207" s="7"/>
      <c r="G207" s="164"/>
      <c r="H207" s="7"/>
      <c r="I207" s="7"/>
      <c r="J207" s="25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2.75" customHeight="1">
      <c r="A208" s="161"/>
      <c r="B208" s="162"/>
      <c r="C208" s="7"/>
      <c r="D208" s="161"/>
      <c r="E208" s="7"/>
      <c r="F208" s="7"/>
      <c r="G208" s="164"/>
      <c r="H208" s="7"/>
      <c r="I208" s="7"/>
      <c r="J208" s="25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2.75" customHeight="1">
      <c r="A209" s="161"/>
      <c r="B209" s="162"/>
      <c r="C209" s="7"/>
      <c r="D209" s="161"/>
      <c r="E209" s="7"/>
      <c r="F209" s="7"/>
      <c r="G209" s="164"/>
      <c r="H209" s="7"/>
      <c r="I209" s="7"/>
      <c r="J209" s="25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2.75" customHeight="1">
      <c r="A210" s="161"/>
      <c r="B210" s="162"/>
      <c r="C210" s="7"/>
      <c r="D210" s="161"/>
      <c r="E210" s="7"/>
      <c r="F210" s="7"/>
      <c r="G210" s="164"/>
      <c r="H210" s="7"/>
      <c r="I210" s="7"/>
      <c r="J210" s="25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2.75" customHeight="1">
      <c r="A211" s="161"/>
      <c r="B211" s="162"/>
      <c r="C211" s="7"/>
      <c r="D211" s="161"/>
      <c r="E211" s="7"/>
      <c r="F211" s="7"/>
      <c r="G211" s="164"/>
      <c r="H211" s="7"/>
      <c r="I211" s="7"/>
      <c r="J211" s="25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2.75" customHeight="1">
      <c r="A212" s="161"/>
      <c r="B212" s="162"/>
      <c r="C212" s="7"/>
      <c r="D212" s="161"/>
      <c r="E212" s="7"/>
      <c r="F212" s="7"/>
      <c r="G212" s="164"/>
      <c r="H212" s="7"/>
      <c r="I212" s="7"/>
      <c r="J212" s="25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2.75" customHeight="1">
      <c r="A213" s="161"/>
      <c r="B213" s="162"/>
      <c r="C213" s="7"/>
      <c r="D213" s="161"/>
      <c r="E213" s="7"/>
      <c r="F213" s="7"/>
      <c r="G213" s="164"/>
      <c r="H213" s="7"/>
      <c r="I213" s="7"/>
      <c r="J213" s="25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2.75" customHeight="1">
      <c r="A214" s="161"/>
      <c r="B214" s="162"/>
      <c r="C214" s="7"/>
      <c r="D214" s="161"/>
      <c r="E214" s="7"/>
      <c r="F214" s="7"/>
      <c r="G214" s="164"/>
      <c r="H214" s="7"/>
      <c r="I214" s="7"/>
      <c r="J214" s="25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2.75" customHeight="1">
      <c r="A215" s="161"/>
      <c r="B215" s="162"/>
      <c r="C215" s="7"/>
      <c r="D215" s="161"/>
      <c r="E215" s="7"/>
      <c r="F215" s="7"/>
      <c r="G215" s="164"/>
      <c r="H215" s="7"/>
      <c r="I215" s="7"/>
      <c r="J215" s="25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2.75" customHeight="1">
      <c r="A216" s="161"/>
      <c r="B216" s="162"/>
      <c r="C216" s="7"/>
      <c r="D216" s="161"/>
      <c r="E216" s="7"/>
      <c r="F216" s="7"/>
      <c r="G216" s="164"/>
      <c r="H216" s="7"/>
      <c r="I216" s="7"/>
      <c r="J216" s="25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2.75" customHeight="1">
      <c r="A217" s="161"/>
      <c r="B217" s="162"/>
      <c r="C217" s="7"/>
      <c r="D217" s="161"/>
      <c r="E217" s="7"/>
      <c r="F217" s="7"/>
      <c r="G217" s="164"/>
      <c r="H217" s="7"/>
      <c r="I217" s="7"/>
      <c r="J217" s="25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2.75" customHeight="1">
      <c r="A218" s="161"/>
      <c r="B218" s="162"/>
      <c r="C218" s="7"/>
      <c r="D218" s="161"/>
      <c r="E218" s="7"/>
      <c r="F218" s="7"/>
      <c r="G218" s="164"/>
      <c r="H218" s="7"/>
      <c r="I218" s="7"/>
      <c r="J218" s="25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2.75" customHeight="1">
      <c r="A219" s="161"/>
      <c r="B219" s="162"/>
      <c r="C219" s="7"/>
      <c r="D219" s="161"/>
      <c r="E219" s="7"/>
      <c r="F219" s="7"/>
      <c r="G219" s="164"/>
      <c r="H219" s="7"/>
      <c r="I219" s="7"/>
      <c r="J219" s="25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2.75" customHeight="1">
      <c r="A220" s="161"/>
      <c r="B220" s="162"/>
      <c r="C220" s="7"/>
      <c r="D220" s="161"/>
      <c r="E220" s="7"/>
      <c r="F220" s="7"/>
      <c r="G220" s="164"/>
      <c r="H220" s="7"/>
      <c r="I220" s="7"/>
      <c r="J220" s="25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2.75" customHeight="1">
      <c r="A221" s="161"/>
      <c r="B221" s="162"/>
      <c r="C221" s="7"/>
      <c r="D221" s="161"/>
      <c r="E221" s="7"/>
      <c r="F221" s="7"/>
      <c r="G221" s="164"/>
      <c r="H221" s="7"/>
      <c r="I221" s="7"/>
      <c r="J221" s="25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2.75" customHeight="1">
      <c r="A222" s="161"/>
      <c r="B222" s="162"/>
      <c r="C222" s="7"/>
      <c r="D222" s="161"/>
      <c r="E222" s="7"/>
      <c r="F222" s="7"/>
      <c r="G222" s="164"/>
      <c r="H222" s="7"/>
      <c r="I222" s="7"/>
      <c r="J222" s="25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2.75" customHeight="1">
      <c r="A223" s="161"/>
      <c r="B223" s="162"/>
      <c r="C223" s="7"/>
      <c r="D223" s="161"/>
      <c r="E223" s="7"/>
      <c r="F223" s="7"/>
      <c r="G223" s="164"/>
      <c r="H223" s="7"/>
      <c r="I223" s="7"/>
      <c r="J223" s="25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2.75" customHeight="1">
      <c r="A224" s="161"/>
      <c r="B224" s="162"/>
      <c r="C224" s="7"/>
      <c r="D224" s="161"/>
      <c r="E224" s="7"/>
      <c r="F224" s="7"/>
      <c r="G224" s="164"/>
      <c r="H224" s="7"/>
      <c r="I224" s="7"/>
      <c r="J224" s="25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2.75" customHeight="1">
      <c r="A225" s="161"/>
      <c r="B225" s="162"/>
      <c r="C225" s="7"/>
      <c r="D225" s="161"/>
      <c r="E225" s="7"/>
      <c r="F225" s="7"/>
      <c r="G225" s="164"/>
      <c r="H225" s="7"/>
      <c r="I225" s="7"/>
      <c r="J225" s="25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2.75" customHeight="1">
      <c r="A226" s="161"/>
      <c r="B226" s="162"/>
      <c r="C226" s="7"/>
      <c r="D226" s="161"/>
      <c r="E226" s="7"/>
      <c r="F226" s="7"/>
      <c r="G226" s="164"/>
      <c r="H226" s="7"/>
      <c r="I226" s="7"/>
      <c r="J226" s="25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2.75" customHeight="1">
      <c r="A227" s="161"/>
      <c r="B227" s="162"/>
      <c r="C227" s="7"/>
      <c r="D227" s="161"/>
      <c r="E227" s="7"/>
      <c r="F227" s="7"/>
      <c r="G227" s="164"/>
      <c r="H227" s="7"/>
      <c r="I227" s="7"/>
      <c r="J227" s="25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2.75" customHeight="1">
      <c r="A228" s="161"/>
      <c r="B228" s="162"/>
      <c r="C228" s="7"/>
      <c r="D228" s="161"/>
      <c r="E228" s="7"/>
      <c r="F228" s="7"/>
      <c r="G228" s="164"/>
      <c r="H228" s="7"/>
      <c r="I228" s="7"/>
      <c r="J228" s="25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2.75" customHeight="1">
      <c r="A229" s="161"/>
      <c r="B229" s="162"/>
      <c r="C229" s="7"/>
      <c r="D229" s="161"/>
      <c r="E229" s="7"/>
      <c r="F229" s="7"/>
      <c r="G229" s="164"/>
      <c r="H229" s="7"/>
      <c r="I229" s="7"/>
      <c r="J229" s="25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2.75" customHeight="1">
      <c r="A230" s="161"/>
      <c r="B230" s="162"/>
      <c r="C230" s="7"/>
      <c r="D230" s="161"/>
      <c r="E230" s="7"/>
      <c r="F230" s="7"/>
      <c r="G230" s="164"/>
      <c r="H230" s="7"/>
      <c r="I230" s="7"/>
      <c r="J230" s="25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2.75" customHeight="1">
      <c r="A231" s="161"/>
      <c r="B231" s="162"/>
      <c r="C231" s="7"/>
      <c r="D231" s="161"/>
      <c r="E231" s="7"/>
      <c r="F231" s="7"/>
      <c r="G231" s="164"/>
      <c r="H231" s="7"/>
      <c r="I231" s="7"/>
      <c r="J231" s="25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2.75" customHeight="1">
      <c r="A232" s="161"/>
      <c r="B232" s="162"/>
      <c r="C232" s="7"/>
      <c r="D232" s="161"/>
      <c r="E232" s="7"/>
      <c r="F232" s="7"/>
      <c r="G232" s="164"/>
      <c r="H232" s="7"/>
      <c r="I232" s="7"/>
      <c r="J232" s="25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2.75" customHeight="1">
      <c r="A233" s="161"/>
      <c r="B233" s="162"/>
      <c r="C233" s="7"/>
      <c r="D233" s="161"/>
      <c r="E233" s="7"/>
      <c r="F233" s="7"/>
      <c r="G233" s="164"/>
      <c r="H233" s="7"/>
      <c r="I233" s="7"/>
      <c r="J233" s="25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2.75" customHeight="1">
      <c r="A234" s="161"/>
      <c r="B234" s="162"/>
      <c r="C234" s="7"/>
      <c r="D234" s="161"/>
      <c r="E234" s="7"/>
      <c r="F234" s="7"/>
      <c r="G234" s="164"/>
      <c r="H234" s="7"/>
      <c r="I234" s="7"/>
      <c r="J234" s="25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2.75" customHeight="1">
      <c r="A235" s="161"/>
      <c r="B235" s="162"/>
      <c r="C235" s="7"/>
      <c r="D235" s="161"/>
      <c r="E235" s="7"/>
      <c r="F235" s="7"/>
      <c r="G235" s="164"/>
      <c r="H235" s="7"/>
      <c r="I235" s="7"/>
      <c r="J235" s="25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2.75" customHeight="1">
      <c r="A236" s="161"/>
      <c r="B236" s="162"/>
      <c r="C236" s="7"/>
      <c r="D236" s="161"/>
      <c r="E236" s="7"/>
      <c r="F236" s="7"/>
      <c r="G236" s="164"/>
      <c r="H236" s="7"/>
      <c r="I236" s="7"/>
      <c r="J236" s="25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2.75" customHeight="1">
      <c r="A237" s="161"/>
      <c r="B237" s="162"/>
      <c r="C237" s="7"/>
      <c r="D237" s="161"/>
      <c r="E237" s="7"/>
      <c r="F237" s="7"/>
      <c r="G237" s="164"/>
      <c r="H237" s="7"/>
      <c r="I237" s="7"/>
      <c r="J237" s="25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2.75" customHeight="1">
      <c r="A238" s="161"/>
      <c r="B238" s="162"/>
      <c r="C238" s="7"/>
      <c r="D238" s="161"/>
      <c r="E238" s="7"/>
      <c r="F238" s="7"/>
      <c r="G238" s="164"/>
      <c r="H238" s="7"/>
      <c r="I238" s="7"/>
      <c r="J238" s="25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2.75" customHeight="1">
      <c r="A239" s="161"/>
      <c r="B239" s="162"/>
      <c r="C239" s="7"/>
      <c r="D239" s="161"/>
      <c r="E239" s="7"/>
      <c r="F239" s="7"/>
      <c r="G239" s="164"/>
      <c r="H239" s="7"/>
      <c r="I239" s="7"/>
      <c r="J239" s="25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2.75" customHeight="1">
      <c r="A240" s="161"/>
      <c r="B240" s="162"/>
      <c r="C240" s="7"/>
      <c r="D240" s="161"/>
      <c r="E240" s="7"/>
      <c r="F240" s="7"/>
      <c r="G240" s="164"/>
      <c r="H240" s="7"/>
      <c r="I240" s="7"/>
      <c r="J240" s="25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2.75" customHeight="1">
      <c r="A241" s="161"/>
      <c r="B241" s="162"/>
      <c r="C241" s="7"/>
      <c r="D241" s="161"/>
      <c r="E241" s="7"/>
      <c r="F241" s="7"/>
      <c r="G241" s="164"/>
      <c r="H241" s="7"/>
      <c r="I241" s="7"/>
      <c r="J241" s="25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2.75" customHeight="1">
      <c r="A242" s="161"/>
      <c r="B242" s="162"/>
      <c r="C242" s="7"/>
      <c r="D242" s="161"/>
      <c r="E242" s="7"/>
      <c r="F242" s="7"/>
      <c r="G242" s="164"/>
      <c r="H242" s="7"/>
      <c r="I242" s="7"/>
      <c r="J242" s="25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2.75" customHeight="1">
      <c r="A243" s="161"/>
      <c r="B243" s="162"/>
      <c r="C243" s="7"/>
      <c r="D243" s="161"/>
      <c r="E243" s="7"/>
      <c r="F243" s="7"/>
      <c r="G243" s="164"/>
      <c r="H243" s="7"/>
      <c r="I243" s="7"/>
      <c r="J243" s="25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2.75" customHeight="1">
      <c r="A244" s="161"/>
      <c r="B244" s="162"/>
      <c r="C244" s="7"/>
      <c r="D244" s="161"/>
      <c r="E244" s="7"/>
      <c r="F244" s="7"/>
      <c r="G244" s="164"/>
      <c r="H244" s="7"/>
      <c r="I244" s="7"/>
      <c r="J244" s="25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2.75" customHeight="1">
      <c r="A245" s="161"/>
      <c r="B245" s="162"/>
      <c r="C245" s="7"/>
      <c r="D245" s="161"/>
      <c r="E245" s="7"/>
      <c r="F245" s="7"/>
      <c r="G245" s="164"/>
      <c r="H245" s="7"/>
      <c r="I245" s="7"/>
      <c r="J245" s="25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2.75" customHeight="1">
      <c r="A246" s="161"/>
      <c r="B246" s="162"/>
      <c r="C246" s="7"/>
      <c r="D246" s="161"/>
      <c r="E246" s="7"/>
      <c r="F246" s="7"/>
      <c r="G246" s="164"/>
      <c r="H246" s="7"/>
      <c r="I246" s="7"/>
      <c r="J246" s="25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5:$K$46"/>
  <mergeCells count="14">
    <mergeCell ref="E3:E4"/>
    <mergeCell ref="F3:F4"/>
    <mergeCell ref="G3:G4"/>
    <mergeCell ref="H3:H4"/>
    <mergeCell ref="I3:I4"/>
    <mergeCell ref="J3:J4"/>
    <mergeCell ref="A1:B2"/>
    <mergeCell ref="C1:G2"/>
    <mergeCell ref="H1:K2"/>
    <mergeCell ref="A3:A4"/>
    <mergeCell ref="B3:B4"/>
    <mergeCell ref="C3:C4"/>
    <mergeCell ref="D3:D4"/>
    <mergeCell ref="K3:K4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2" width="14.43"/>
    <col customWidth="1" min="3" max="3" width="21.0"/>
    <col customWidth="1" min="4" max="4" width="28.14"/>
    <col customWidth="1" min="5" max="6" width="14.43"/>
    <col customWidth="1" min="11" max="11" width="35.57"/>
  </cols>
  <sheetData>
    <row r="1" ht="15.0" customHeight="1">
      <c r="A1" s="165"/>
      <c r="B1" s="4"/>
      <c r="C1" s="166" t="s">
        <v>161</v>
      </c>
      <c r="D1" s="4"/>
      <c r="E1" s="4"/>
      <c r="F1" s="4"/>
      <c r="G1" s="2"/>
      <c r="H1" s="167" t="s">
        <v>162</v>
      </c>
      <c r="I1" s="4"/>
      <c r="J1" s="4"/>
      <c r="K1" s="6"/>
    </row>
    <row r="2" ht="33.75" customHeight="1">
      <c r="A2" s="8"/>
      <c r="B2" s="11"/>
      <c r="C2" s="8"/>
      <c r="D2" s="11"/>
      <c r="E2" s="11"/>
      <c r="F2" s="11"/>
      <c r="G2" s="9"/>
      <c r="H2" s="10"/>
      <c r="I2" s="11"/>
      <c r="J2" s="11"/>
      <c r="K2" s="12"/>
    </row>
    <row r="3" ht="15.0" customHeight="1">
      <c r="A3" s="13" t="s">
        <v>2</v>
      </c>
      <c r="B3" s="168" t="s">
        <v>3</v>
      </c>
      <c r="C3" s="13" t="s">
        <v>4</v>
      </c>
      <c r="D3" s="16" t="s">
        <v>5</v>
      </c>
      <c r="E3" s="169" t="s">
        <v>6</v>
      </c>
      <c r="F3" s="170">
        <v>2017.0</v>
      </c>
      <c r="G3" s="171">
        <v>2018.0</v>
      </c>
      <c r="H3" s="16" t="s">
        <v>163</v>
      </c>
      <c r="I3" s="16" t="s">
        <v>123</v>
      </c>
      <c r="J3" s="172">
        <v>2019.0</v>
      </c>
      <c r="K3" s="173" t="s">
        <v>124</v>
      </c>
    </row>
    <row r="4" ht="15.0" customHeight="1">
      <c r="A4" s="22"/>
      <c r="B4" s="174"/>
      <c r="C4" s="22"/>
      <c r="D4" s="23"/>
      <c r="E4" s="174"/>
      <c r="F4" s="24"/>
      <c r="G4" s="24"/>
      <c r="H4" s="23"/>
      <c r="I4" s="23"/>
      <c r="J4" s="24"/>
      <c r="K4" s="25"/>
    </row>
    <row r="5" ht="15.0" customHeight="1">
      <c r="A5" s="175"/>
      <c r="B5" s="258"/>
      <c r="C5" s="177"/>
      <c r="D5" s="178"/>
      <c r="E5" s="179"/>
      <c r="F5" s="180"/>
      <c r="G5" s="181"/>
      <c r="H5" s="179"/>
      <c r="I5" s="179"/>
      <c r="J5" s="182"/>
      <c r="K5" s="183"/>
    </row>
    <row r="6" ht="34.5" customHeight="1">
      <c r="A6" s="259" t="s">
        <v>125</v>
      </c>
      <c r="B6" s="260" t="s">
        <v>10</v>
      </c>
      <c r="C6" s="261" t="s">
        <v>11</v>
      </c>
      <c r="D6" s="262" t="s">
        <v>126</v>
      </c>
      <c r="E6" s="262" t="s">
        <v>13</v>
      </c>
      <c r="F6" s="263">
        <v>11465.0</v>
      </c>
      <c r="G6" s="264">
        <v>12151.0</v>
      </c>
      <c r="H6" s="265">
        <f t="shared" ref="H6:H9" si="1">SUM(J6-G6)</f>
        <v>2250</v>
      </c>
      <c r="I6" s="266">
        <f t="shared" ref="I6:I41" si="2">H6/G6</f>
        <v>0.1851699449</v>
      </c>
      <c r="J6" s="267">
        <f>J7+J8+J9</f>
        <v>14401</v>
      </c>
      <c r="K6" s="268" t="s">
        <v>49</v>
      </c>
    </row>
    <row r="7" ht="34.5" customHeight="1">
      <c r="A7" s="269"/>
      <c r="B7" s="260" t="s">
        <v>15</v>
      </c>
      <c r="C7" s="261" t="s">
        <v>127</v>
      </c>
      <c r="D7" s="262" t="s">
        <v>128</v>
      </c>
      <c r="E7" s="262" t="s">
        <v>13</v>
      </c>
      <c r="F7" s="263">
        <v>6348.0</v>
      </c>
      <c r="G7" s="264">
        <v>7278.0</v>
      </c>
      <c r="H7" s="265">
        <f t="shared" si="1"/>
        <v>640</v>
      </c>
      <c r="I7" s="266">
        <f t="shared" si="2"/>
        <v>0.08793624622</v>
      </c>
      <c r="J7" s="267">
        <v>7918.0</v>
      </c>
      <c r="K7" s="270"/>
    </row>
    <row r="8" ht="34.5" customHeight="1">
      <c r="A8" s="269"/>
      <c r="B8" s="260" t="s">
        <v>19</v>
      </c>
      <c r="C8" s="261" t="s">
        <v>129</v>
      </c>
      <c r="D8" s="262" t="s">
        <v>130</v>
      </c>
      <c r="E8" s="262" t="s">
        <v>13</v>
      </c>
      <c r="F8" s="263">
        <v>5117.0</v>
      </c>
      <c r="G8" s="264">
        <v>4873.0</v>
      </c>
      <c r="H8" s="265">
        <f t="shared" si="1"/>
        <v>-83</v>
      </c>
      <c r="I8" s="266">
        <f t="shared" si="2"/>
        <v>-0.01703262877</v>
      </c>
      <c r="J8" s="267">
        <v>4790.0</v>
      </c>
      <c r="K8" s="270"/>
    </row>
    <row r="9" ht="34.5" customHeight="1">
      <c r="A9" s="269"/>
      <c r="B9" s="260" t="s">
        <v>164</v>
      </c>
      <c r="C9" s="271" t="s">
        <v>165</v>
      </c>
      <c r="D9" s="262" t="s">
        <v>166</v>
      </c>
      <c r="E9" s="262" t="s">
        <v>13</v>
      </c>
      <c r="F9" s="272">
        <v>2050.0</v>
      </c>
      <c r="G9" s="273">
        <v>1652.0</v>
      </c>
      <c r="H9" s="265">
        <f t="shared" si="1"/>
        <v>41</v>
      </c>
      <c r="I9" s="266">
        <f t="shared" si="2"/>
        <v>0.02481840194</v>
      </c>
      <c r="J9" s="267">
        <v>1693.0</v>
      </c>
      <c r="K9" s="274"/>
    </row>
    <row r="10" ht="34.5" customHeight="1">
      <c r="A10" s="275"/>
      <c r="B10" s="260" t="s">
        <v>167</v>
      </c>
      <c r="C10" s="276" t="s">
        <v>23</v>
      </c>
      <c r="D10" s="53" t="s">
        <v>24</v>
      </c>
      <c r="E10" s="53" t="s">
        <v>13</v>
      </c>
      <c r="F10" s="193">
        <v>2.65</v>
      </c>
      <c r="G10" s="194">
        <v>2.84</v>
      </c>
      <c r="H10" s="277">
        <f>J10-G10</f>
        <v>-0.12</v>
      </c>
      <c r="I10" s="69">
        <f t="shared" si="2"/>
        <v>-0.04225352113</v>
      </c>
      <c r="J10" s="196">
        <v>2.72</v>
      </c>
      <c r="K10" s="57" t="s">
        <v>131</v>
      </c>
    </row>
    <row r="11" ht="34.5" customHeight="1">
      <c r="A11" s="278" t="s">
        <v>132</v>
      </c>
      <c r="B11" s="260" t="s">
        <v>27</v>
      </c>
      <c r="C11" s="279" t="s">
        <v>11</v>
      </c>
      <c r="D11" s="262" t="s">
        <v>126</v>
      </c>
      <c r="E11" s="53" t="s">
        <v>13</v>
      </c>
      <c r="F11" s="280">
        <v>11666.0</v>
      </c>
      <c r="G11" s="281">
        <v>12728.0</v>
      </c>
      <c r="H11" s="282">
        <f t="shared" ref="H11:H14" si="3">SUM(J11-G11)</f>
        <v>4025</v>
      </c>
      <c r="I11" s="283">
        <f t="shared" si="2"/>
        <v>0.3162319296</v>
      </c>
      <c r="J11" s="267">
        <f>J12+J13+J14</f>
        <v>16753</v>
      </c>
      <c r="K11" s="284" t="s">
        <v>133</v>
      </c>
    </row>
    <row r="12" ht="34.5" customHeight="1">
      <c r="A12" s="269"/>
      <c r="B12" s="260" t="s">
        <v>29</v>
      </c>
      <c r="C12" s="261" t="s">
        <v>127</v>
      </c>
      <c r="D12" s="262" t="s">
        <v>128</v>
      </c>
      <c r="E12" s="262" t="s">
        <v>13</v>
      </c>
      <c r="F12" s="263">
        <v>7956.0</v>
      </c>
      <c r="G12" s="264">
        <v>8793.0</v>
      </c>
      <c r="H12" s="265">
        <f t="shared" si="3"/>
        <v>1924</v>
      </c>
      <c r="I12" s="283">
        <f t="shared" si="2"/>
        <v>0.2188104174</v>
      </c>
      <c r="J12" s="267">
        <v>10717.0</v>
      </c>
      <c r="K12" s="270"/>
    </row>
    <row r="13" ht="34.5" customHeight="1">
      <c r="A13" s="269"/>
      <c r="B13" s="260" t="s">
        <v>32</v>
      </c>
      <c r="C13" s="261" t="s">
        <v>129</v>
      </c>
      <c r="D13" s="262" t="s">
        <v>130</v>
      </c>
      <c r="E13" s="262" t="s">
        <v>13</v>
      </c>
      <c r="F13" s="263">
        <v>3710.0</v>
      </c>
      <c r="G13" s="264">
        <v>3935.0</v>
      </c>
      <c r="H13" s="265">
        <f t="shared" si="3"/>
        <v>691</v>
      </c>
      <c r="I13" s="283">
        <f t="shared" si="2"/>
        <v>0.1756035578</v>
      </c>
      <c r="J13" s="267">
        <v>4626.0</v>
      </c>
      <c r="K13" s="270"/>
    </row>
    <row r="14" ht="34.5" customHeight="1">
      <c r="A14" s="269"/>
      <c r="B14" s="260" t="s">
        <v>168</v>
      </c>
      <c r="C14" s="271" t="s">
        <v>165</v>
      </c>
      <c r="D14" s="262" t="s">
        <v>166</v>
      </c>
      <c r="E14" s="262" t="s">
        <v>13</v>
      </c>
      <c r="F14" s="263">
        <v>1209.0</v>
      </c>
      <c r="G14" s="264">
        <v>1131.0</v>
      </c>
      <c r="H14" s="265">
        <f t="shared" si="3"/>
        <v>279</v>
      </c>
      <c r="I14" s="283">
        <f t="shared" si="2"/>
        <v>0.2466843501</v>
      </c>
      <c r="J14" s="267">
        <v>1410.0</v>
      </c>
      <c r="K14" s="274"/>
    </row>
    <row r="15" ht="44.25" customHeight="1">
      <c r="A15" s="275"/>
      <c r="B15" s="260" t="s">
        <v>35</v>
      </c>
      <c r="C15" s="276" t="s">
        <v>23</v>
      </c>
      <c r="D15" s="53" t="s">
        <v>24</v>
      </c>
      <c r="E15" s="53" t="s">
        <v>13</v>
      </c>
      <c r="F15" s="193">
        <v>2.96</v>
      </c>
      <c r="G15" s="285">
        <v>2.84</v>
      </c>
      <c r="H15" s="286">
        <f>J15-G15</f>
        <v>-0.11</v>
      </c>
      <c r="I15" s="287">
        <f t="shared" si="2"/>
        <v>-0.03873239437</v>
      </c>
      <c r="J15" s="288">
        <v>2.73</v>
      </c>
      <c r="K15" s="57" t="s">
        <v>134</v>
      </c>
    </row>
    <row r="16" ht="34.5" customHeight="1">
      <c r="A16" s="278" t="s">
        <v>135</v>
      </c>
      <c r="B16" s="260" t="s">
        <v>38</v>
      </c>
      <c r="C16" s="279" t="s">
        <v>11</v>
      </c>
      <c r="D16" s="262" t="s">
        <v>126</v>
      </c>
      <c r="E16" s="262" t="s">
        <v>13</v>
      </c>
      <c r="F16" s="280">
        <v>3120.0</v>
      </c>
      <c r="G16" s="281">
        <v>3427.0</v>
      </c>
      <c r="H16" s="289">
        <f t="shared" ref="H16:H19" si="4">SUM(J16-G16)</f>
        <v>103</v>
      </c>
      <c r="I16" s="287">
        <f t="shared" si="2"/>
        <v>0.03005544208</v>
      </c>
      <c r="J16" s="290">
        <f>J17+J18+J19</f>
        <v>3530</v>
      </c>
      <c r="K16" s="268" t="s">
        <v>169</v>
      </c>
    </row>
    <row r="17" ht="34.5" customHeight="1">
      <c r="A17" s="269"/>
      <c r="B17" s="260" t="s">
        <v>40</v>
      </c>
      <c r="C17" s="261" t="s">
        <v>127</v>
      </c>
      <c r="D17" s="262" t="s">
        <v>128</v>
      </c>
      <c r="E17" s="262" t="s">
        <v>13</v>
      </c>
      <c r="F17" s="263">
        <v>2212.0</v>
      </c>
      <c r="G17" s="264">
        <v>2372.0</v>
      </c>
      <c r="H17" s="289">
        <f t="shared" si="4"/>
        <v>-118</v>
      </c>
      <c r="I17" s="287">
        <f t="shared" si="2"/>
        <v>-0.0497470489</v>
      </c>
      <c r="J17" s="290">
        <v>2254.0</v>
      </c>
      <c r="K17" s="270"/>
    </row>
    <row r="18" ht="34.5" customHeight="1">
      <c r="A18" s="269"/>
      <c r="B18" s="260" t="s">
        <v>43</v>
      </c>
      <c r="C18" s="261" t="s">
        <v>129</v>
      </c>
      <c r="D18" s="262" t="s">
        <v>130</v>
      </c>
      <c r="E18" s="262" t="s">
        <v>13</v>
      </c>
      <c r="F18" s="263">
        <v>908.0</v>
      </c>
      <c r="G18" s="264">
        <v>1055.0</v>
      </c>
      <c r="H18" s="265">
        <f t="shared" si="4"/>
        <v>68</v>
      </c>
      <c r="I18" s="287">
        <f t="shared" si="2"/>
        <v>0.0644549763</v>
      </c>
      <c r="J18" s="267">
        <v>1123.0</v>
      </c>
      <c r="K18" s="270"/>
    </row>
    <row r="19" ht="34.5" customHeight="1">
      <c r="A19" s="269"/>
      <c r="B19" s="260" t="s">
        <v>170</v>
      </c>
      <c r="C19" s="271" t="s">
        <v>165</v>
      </c>
      <c r="D19" s="262" t="s">
        <v>166</v>
      </c>
      <c r="E19" s="262" t="s">
        <v>13</v>
      </c>
      <c r="F19" s="263">
        <v>153.0</v>
      </c>
      <c r="G19" s="264">
        <v>106.0</v>
      </c>
      <c r="H19" s="265">
        <f t="shared" si="4"/>
        <v>47</v>
      </c>
      <c r="I19" s="287">
        <f t="shared" si="2"/>
        <v>0.4433962264</v>
      </c>
      <c r="J19" s="267">
        <v>153.0</v>
      </c>
      <c r="K19" s="274"/>
    </row>
    <row r="20" ht="34.5" customHeight="1">
      <c r="A20" s="275"/>
      <c r="B20" s="260" t="s">
        <v>45</v>
      </c>
      <c r="C20" s="291" t="s">
        <v>23</v>
      </c>
      <c r="D20" s="102" t="s">
        <v>24</v>
      </c>
      <c r="E20" s="102" t="s">
        <v>13</v>
      </c>
      <c r="F20" s="292">
        <v>3.1</v>
      </c>
      <c r="G20" s="293">
        <v>2.8</v>
      </c>
      <c r="H20" s="294">
        <f>J20-G20</f>
        <v>-0.2</v>
      </c>
      <c r="I20" s="295">
        <f t="shared" si="2"/>
        <v>-0.07142857143</v>
      </c>
      <c r="J20" s="296">
        <v>2.6</v>
      </c>
      <c r="K20" s="57" t="s">
        <v>136</v>
      </c>
    </row>
    <row r="21" ht="34.5" customHeight="1">
      <c r="A21" s="278" t="s">
        <v>137</v>
      </c>
      <c r="B21" s="260" t="s">
        <v>48</v>
      </c>
      <c r="C21" s="261" t="s">
        <v>11</v>
      </c>
      <c r="D21" s="262" t="s">
        <v>126</v>
      </c>
      <c r="E21" s="262" t="s">
        <v>13</v>
      </c>
      <c r="F21" s="272">
        <v>1168.0</v>
      </c>
      <c r="G21" s="273">
        <v>1570.0</v>
      </c>
      <c r="H21" s="289">
        <f t="shared" ref="H21:H24" si="5">SUM(J21-G21)</f>
        <v>358</v>
      </c>
      <c r="I21" s="287">
        <f t="shared" si="2"/>
        <v>0.2280254777</v>
      </c>
      <c r="J21" s="267">
        <f>J22+J23+J24</f>
        <v>1928</v>
      </c>
      <c r="K21" s="268" t="s">
        <v>49</v>
      </c>
    </row>
    <row r="22" ht="34.5" customHeight="1">
      <c r="A22" s="269"/>
      <c r="B22" s="260" t="s">
        <v>50</v>
      </c>
      <c r="C22" s="261" t="s">
        <v>127</v>
      </c>
      <c r="D22" s="262" t="s">
        <v>128</v>
      </c>
      <c r="E22" s="262" t="s">
        <v>13</v>
      </c>
      <c r="F22" s="272">
        <v>531.0</v>
      </c>
      <c r="G22" s="273">
        <v>536.0</v>
      </c>
      <c r="H22" s="289">
        <f t="shared" si="5"/>
        <v>40</v>
      </c>
      <c r="I22" s="287">
        <f t="shared" si="2"/>
        <v>0.07462686567</v>
      </c>
      <c r="J22" s="267">
        <v>576.0</v>
      </c>
      <c r="K22" s="270"/>
    </row>
    <row r="23" ht="34.5" customHeight="1">
      <c r="A23" s="269"/>
      <c r="B23" s="260" t="s">
        <v>51</v>
      </c>
      <c r="C23" s="261" t="s">
        <v>129</v>
      </c>
      <c r="D23" s="262" t="s">
        <v>130</v>
      </c>
      <c r="E23" s="262" t="s">
        <v>13</v>
      </c>
      <c r="F23" s="272">
        <v>637.0</v>
      </c>
      <c r="G23" s="273">
        <v>1034.0</v>
      </c>
      <c r="H23" s="289">
        <f t="shared" si="5"/>
        <v>-206</v>
      </c>
      <c r="I23" s="287">
        <f t="shared" si="2"/>
        <v>-0.1992263056</v>
      </c>
      <c r="J23" s="267">
        <v>828.0</v>
      </c>
      <c r="K23" s="270"/>
    </row>
    <row r="24" ht="34.5" customHeight="1">
      <c r="A24" s="269"/>
      <c r="B24" s="260" t="s">
        <v>171</v>
      </c>
      <c r="C24" s="271" t="s">
        <v>165</v>
      </c>
      <c r="D24" s="262" t="s">
        <v>166</v>
      </c>
      <c r="E24" s="262" t="s">
        <v>13</v>
      </c>
      <c r="F24" s="272">
        <v>612.0</v>
      </c>
      <c r="G24" s="273">
        <v>723.0</v>
      </c>
      <c r="H24" s="289">
        <f t="shared" si="5"/>
        <v>-199</v>
      </c>
      <c r="I24" s="287">
        <f t="shared" si="2"/>
        <v>-0.275242047</v>
      </c>
      <c r="J24" s="267">
        <v>524.0</v>
      </c>
      <c r="K24" s="274"/>
    </row>
    <row r="25" ht="34.5" customHeight="1">
      <c r="A25" s="275"/>
      <c r="B25" s="260" t="s">
        <v>172</v>
      </c>
      <c r="C25" s="297" t="s">
        <v>23</v>
      </c>
      <c r="D25" s="121" t="s">
        <v>24</v>
      </c>
      <c r="E25" s="121" t="s">
        <v>13</v>
      </c>
      <c r="F25" s="298">
        <v>3.2</v>
      </c>
      <c r="G25" s="299">
        <v>2.9</v>
      </c>
      <c r="H25" s="300">
        <f>J25-G25</f>
        <v>0.1</v>
      </c>
      <c r="I25" s="301">
        <f t="shared" si="2"/>
        <v>0.03448275862</v>
      </c>
      <c r="J25" s="302">
        <v>3.0</v>
      </c>
      <c r="K25" s="303" t="s">
        <v>136</v>
      </c>
    </row>
    <row r="26" ht="34.5" customHeight="1">
      <c r="A26" s="304" t="s">
        <v>138</v>
      </c>
      <c r="B26" s="260" t="s">
        <v>56</v>
      </c>
      <c r="C26" s="305" t="s">
        <v>11</v>
      </c>
      <c r="D26" s="262" t="s">
        <v>126</v>
      </c>
      <c r="E26" s="262" t="s">
        <v>13</v>
      </c>
      <c r="F26" s="272">
        <v>3740.0</v>
      </c>
      <c r="G26" s="273">
        <v>4296.0</v>
      </c>
      <c r="H26" s="289">
        <f t="shared" ref="H26:H41" si="6">SUM(J26-G26)</f>
        <v>-391</v>
      </c>
      <c r="I26" s="287">
        <f t="shared" si="2"/>
        <v>-0.09101489758</v>
      </c>
      <c r="J26" s="267">
        <f>J27+J28+J29</f>
        <v>3905</v>
      </c>
      <c r="K26" s="268" t="s">
        <v>49</v>
      </c>
    </row>
    <row r="27" ht="34.5" customHeight="1">
      <c r="A27" s="269"/>
      <c r="B27" s="260" t="s">
        <v>57</v>
      </c>
      <c r="C27" s="305" t="s">
        <v>127</v>
      </c>
      <c r="D27" s="262" t="s">
        <v>128</v>
      </c>
      <c r="E27" s="262" t="s">
        <v>13</v>
      </c>
      <c r="F27" s="272">
        <v>1830.0</v>
      </c>
      <c r="G27" s="273">
        <v>2040.0</v>
      </c>
      <c r="H27" s="289">
        <f t="shared" si="6"/>
        <v>-47</v>
      </c>
      <c r="I27" s="287">
        <f t="shared" si="2"/>
        <v>-0.02303921569</v>
      </c>
      <c r="J27" s="267">
        <v>1993.0</v>
      </c>
      <c r="K27" s="270"/>
    </row>
    <row r="28" ht="34.5" customHeight="1">
      <c r="A28" s="269"/>
      <c r="B28" s="260" t="s">
        <v>59</v>
      </c>
      <c r="C28" s="305" t="s">
        <v>129</v>
      </c>
      <c r="D28" s="262" t="s">
        <v>130</v>
      </c>
      <c r="E28" s="262" t="s">
        <v>13</v>
      </c>
      <c r="F28" s="272">
        <v>1910.0</v>
      </c>
      <c r="G28" s="273">
        <v>2256.0</v>
      </c>
      <c r="H28" s="289">
        <f t="shared" si="6"/>
        <v>-408</v>
      </c>
      <c r="I28" s="287">
        <f t="shared" si="2"/>
        <v>-0.1808510638</v>
      </c>
      <c r="J28" s="267">
        <v>1848.0</v>
      </c>
      <c r="K28" s="270"/>
    </row>
    <row r="29" ht="34.5" customHeight="1">
      <c r="A29" s="275"/>
      <c r="B29" s="260" t="s">
        <v>173</v>
      </c>
      <c r="C29" s="305" t="s">
        <v>165</v>
      </c>
      <c r="D29" s="262" t="s">
        <v>166</v>
      </c>
      <c r="E29" s="262" t="s">
        <v>13</v>
      </c>
      <c r="F29" s="272">
        <v>94.0</v>
      </c>
      <c r="G29" s="273">
        <v>59.0</v>
      </c>
      <c r="H29" s="289">
        <f t="shared" si="6"/>
        <v>5</v>
      </c>
      <c r="I29" s="287">
        <f t="shared" si="2"/>
        <v>0.08474576271</v>
      </c>
      <c r="J29" s="267">
        <v>64.0</v>
      </c>
      <c r="K29" s="306"/>
    </row>
    <row r="30" ht="34.5" customHeight="1">
      <c r="A30" s="278" t="s">
        <v>139</v>
      </c>
      <c r="B30" s="260" t="s">
        <v>62</v>
      </c>
      <c r="C30" s="305" t="s">
        <v>11</v>
      </c>
      <c r="D30" s="262" t="s">
        <v>126</v>
      </c>
      <c r="E30" s="262" t="s">
        <v>13</v>
      </c>
      <c r="F30" s="272">
        <v>13821.0</v>
      </c>
      <c r="G30" s="273">
        <v>13118.0</v>
      </c>
      <c r="H30" s="289">
        <f t="shared" si="6"/>
        <v>1598</v>
      </c>
      <c r="I30" s="287">
        <f t="shared" si="2"/>
        <v>0.1218173502</v>
      </c>
      <c r="J30" s="267">
        <f>J31+J32+J33</f>
        <v>14716</v>
      </c>
      <c r="K30" s="268" t="s">
        <v>140</v>
      </c>
    </row>
    <row r="31" ht="34.5" customHeight="1">
      <c r="A31" s="269"/>
      <c r="B31" s="260" t="s">
        <v>63</v>
      </c>
      <c r="C31" s="305" t="s">
        <v>127</v>
      </c>
      <c r="D31" s="262" t="s">
        <v>128</v>
      </c>
      <c r="E31" s="262" t="s">
        <v>13</v>
      </c>
      <c r="F31" s="272">
        <v>7518.0</v>
      </c>
      <c r="G31" s="273">
        <v>7417.0</v>
      </c>
      <c r="H31" s="289">
        <f t="shared" si="6"/>
        <v>263</v>
      </c>
      <c r="I31" s="287">
        <f t="shared" si="2"/>
        <v>0.03545908049</v>
      </c>
      <c r="J31" s="267">
        <v>7680.0</v>
      </c>
      <c r="K31" s="270"/>
    </row>
    <row r="32" ht="34.5" customHeight="1">
      <c r="A32" s="269"/>
      <c r="B32" s="260" t="s">
        <v>65</v>
      </c>
      <c r="C32" s="305" t="s">
        <v>129</v>
      </c>
      <c r="D32" s="262" t="s">
        <v>130</v>
      </c>
      <c r="E32" s="262" t="s">
        <v>13</v>
      </c>
      <c r="F32" s="272">
        <v>6303.0</v>
      </c>
      <c r="G32" s="273">
        <v>5701.0</v>
      </c>
      <c r="H32" s="289">
        <f t="shared" si="6"/>
        <v>155</v>
      </c>
      <c r="I32" s="287">
        <f t="shared" si="2"/>
        <v>0.02718821259</v>
      </c>
      <c r="J32" s="267">
        <v>5856.0</v>
      </c>
      <c r="K32" s="270"/>
    </row>
    <row r="33" ht="34.5" customHeight="1">
      <c r="A33" s="275"/>
      <c r="B33" s="260" t="s">
        <v>174</v>
      </c>
      <c r="C33" s="305" t="s">
        <v>165</v>
      </c>
      <c r="D33" s="262" t="s">
        <v>166</v>
      </c>
      <c r="E33" s="262" t="s">
        <v>13</v>
      </c>
      <c r="F33" s="272">
        <v>1172.0</v>
      </c>
      <c r="G33" s="273">
        <v>907.0</v>
      </c>
      <c r="H33" s="289">
        <f t="shared" si="6"/>
        <v>273</v>
      </c>
      <c r="I33" s="287">
        <f t="shared" si="2"/>
        <v>0.3009922822</v>
      </c>
      <c r="J33" s="267">
        <v>1180.0</v>
      </c>
      <c r="K33" s="306"/>
    </row>
    <row r="34" ht="34.5" customHeight="1">
      <c r="A34" s="307" t="s">
        <v>141</v>
      </c>
      <c r="B34" s="190" t="s">
        <v>68</v>
      </c>
      <c r="C34" s="305" t="s">
        <v>11</v>
      </c>
      <c r="D34" s="262" t="s">
        <v>126</v>
      </c>
      <c r="E34" s="262" t="s">
        <v>13</v>
      </c>
      <c r="F34" s="272">
        <v>4879.0</v>
      </c>
      <c r="G34" s="273">
        <v>4433.0</v>
      </c>
      <c r="H34" s="289">
        <f t="shared" si="6"/>
        <v>223</v>
      </c>
      <c r="I34" s="287">
        <f t="shared" si="2"/>
        <v>0.05030453418</v>
      </c>
      <c r="J34" s="267">
        <f>J35+J36+J37</f>
        <v>4656</v>
      </c>
      <c r="K34" s="308" t="s">
        <v>142</v>
      </c>
    </row>
    <row r="35" ht="34.5" customHeight="1">
      <c r="A35" s="309"/>
      <c r="B35" s="190" t="s">
        <v>69</v>
      </c>
      <c r="C35" s="305" t="s">
        <v>127</v>
      </c>
      <c r="D35" s="262" t="s">
        <v>128</v>
      </c>
      <c r="E35" s="262" t="s">
        <v>13</v>
      </c>
      <c r="F35" s="272">
        <v>2485.0</v>
      </c>
      <c r="G35" s="273">
        <v>2544.0</v>
      </c>
      <c r="H35" s="289">
        <f t="shared" si="6"/>
        <v>8</v>
      </c>
      <c r="I35" s="287">
        <f t="shared" si="2"/>
        <v>0.003144654088</v>
      </c>
      <c r="J35" s="267">
        <v>2552.0</v>
      </c>
      <c r="K35" s="310"/>
    </row>
    <row r="36" ht="34.5" customHeight="1">
      <c r="A36" s="309"/>
      <c r="B36" s="209" t="s">
        <v>71</v>
      </c>
      <c r="C36" s="305" t="s">
        <v>129</v>
      </c>
      <c r="D36" s="262" t="s">
        <v>130</v>
      </c>
      <c r="E36" s="262" t="s">
        <v>13</v>
      </c>
      <c r="F36" s="272">
        <v>2394.0</v>
      </c>
      <c r="G36" s="273">
        <v>1889.0</v>
      </c>
      <c r="H36" s="289">
        <f t="shared" si="6"/>
        <v>27</v>
      </c>
      <c r="I36" s="287">
        <f t="shared" si="2"/>
        <v>0.01429327687</v>
      </c>
      <c r="J36" s="267">
        <v>1916.0</v>
      </c>
      <c r="K36" s="311"/>
    </row>
    <row r="37" ht="34.5" customHeight="1">
      <c r="A37" s="312"/>
      <c r="B37" s="313" t="s">
        <v>175</v>
      </c>
      <c r="C37" s="305" t="s">
        <v>165</v>
      </c>
      <c r="D37" s="262" t="s">
        <v>166</v>
      </c>
      <c r="E37" s="262" t="s">
        <v>13</v>
      </c>
      <c r="F37" s="272">
        <v>146.0</v>
      </c>
      <c r="G37" s="273">
        <v>204.0</v>
      </c>
      <c r="H37" s="289">
        <f t="shared" si="6"/>
        <v>-16</v>
      </c>
      <c r="I37" s="287">
        <f t="shared" si="2"/>
        <v>-0.07843137255</v>
      </c>
      <c r="J37" s="267">
        <v>188.0</v>
      </c>
      <c r="K37" s="314"/>
    </row>
    <row r="38" ht="34.5" customHeight="1">
      <c r="A38" s="315" t="s">
        <v>143</v>
      </c>
      <c r="B38" s="260" t="s">
        <v>73</v>
      </c>
      <c r="C38" s="305" t="s">
        <v>11</v>
      </c>
      <c r="D38" s="262" t="s">
        <v>74</v>
      </c>
      <c r="E38" s="262" t="s">
        <v>13</v>
      </c>
      <c r="F38" s="272">
        <v>13837.0</v>
      </c>
      <c r="G38" s="273">
        <v>11072.0</v>
      </c>
      <c r="H38" s="289">
        <f t="shared" si="6"/>
        <v>-133</v>
      </c>
      <c r="I38" s="287">
        <f t="shared" si="2"/>
        <v>-0.01201228324</v>
      </c>
      <c r="J38" s="267">
        <f>J39+J40</f>
        <v>10939</v>
      </c>
      <c r="K38" s="308" t="s">
        <v>144</v>
      </c>
    </row>
    <row r="39" ht="34.5" customHeight="1">
      <c r="A39" s="316"/>
      <c r="B39" s="260" t="s">
        <v>75</v>
      </c>
      <c r="C39" s="305" t="s">
        <v>176</v>
      </c>
      <c r="D39" s="262" t="s">
        <v>74</v>
      </c>
      <c r="E39" s="262" t="s">
        <v>13</v>
      </c>
      <c r="F39" s="272">
        <v>8519.0</v>
      </c>
      <c r="G39" s="273">
        <v>7786.0</v>
      </c>
      <c r="H39" s="289">
        <f t="shared" si="6"/>
        <v>403</v>
      </c>
      <c r="I39" s="287">
        <f t="shared" si="2"/>
        <v>0.05175956846</v>
      </c>
      <c r="J39" s="267">
        <v>8189.0</v>
      </c>
      <c r="K39" s="317"/>
    </row>
    <row r="40" ht="34.5" customHeight="1">
      <c r="A40" s="316"/>
      <c r="B40" s="260" t="s">
        <v>147</v>
      </c>
      <c r="C40" s="305" t="s">
        <v>177</v>
      </c>
      <c r="D40" s="262" t="s">
        <v>74</v>
      </c>
      <c r="E40" s="262" t="s">
        <v>13</v>
      </c>
      <c r="F40" s="272">
        <v>5078.0</v>
      </c>
      <c r="G40" s="273">
        <v>3172.0</v>
      </c>
      <c r="H40" s="289">
        <f t="shared" si="6"/>
        <v>-422</v>
      </c>
      <c r="I40" s="287">
        <f t="shared" si="2"/>
        <v>-0.1330390921</v>
      </c>
      <c r="J40" s="267">
        <v>2750.0</v>
      </c>
      <c r="K40" s="317"/>
    </row>
    <row r="41" ht="34.5" customHeight="1">
      <c r="A41" s="316"/>
      <c r="B41" s="260" t="s">
        <v>178</v>
      </c>
      <c r="C41" s="305" t="s">
        <v>145</v>
      </c>
      <c r="D41" s="262" t="s">
        <v>77</v>
      </c>
      <c r="E41" s="262" t="s">
        <v>13</v>
      </c>
      <c r="F41" s="272">
        <v>1885.0</v>
      </c>
      <c r="G41" s="273">
        <v>1830.0</v>
      </c>
      <c r="H41" s="289">
        <f t="shared" si="6"/>
        <v>0</v>
      </c>
      <c r="I41" s="287">
        <f t="shared" si="2"/>
        <v>0</v>
      </c>
      <c r="J41" s="267">
        <v>1830.0</v>
      </c>
      <c r="K41" s="317" t="s">
        <v>146</v>
      </c>
    </row>
    <row r="42" ht="53.25" customHeight="1">
      <c r="A42" s="318"/>
      <c r="B42" s="260" t="s">
        <v>179</v>
      </c>
      <c r="C42" s="305" t="s">
        <v>148</v>
      </c>
      <c r="D42" s="262" t="s">
        <v>149</v>
      </c>
      <c r="E42" s="262" t="s">
        <v>13</v>
      </c>
      <c r="F42" s="319">
        <v>0.1537</v>
      </c>
      <c r="G42" s="320">
        <v>0.1283</v>
      </c>
      <c r="H42" s="287">
        <f>G42-F42</f>
        <v>-0.0254</v>
      </c>
      <c r="I42" s="321" t="s">
        <v>151</v>
      </c>
      <c r="J42" s="322">
        <v>0.1283</v>
      </c>
      <c r="K42" s="323"/>
    </row>
    <row r="43" ht="40.5" customHeight="1">
      <c r="A43" s="315" t="s">
        <v>152</v>
      </c>
      <c r="B43" s="260" t="s">
        <v>180</v>
      </c>
      <c r="C43" s="305" t="s">
        <v>11</v>
      </c>
      <c r="D43" s="262" t="s">
        <v>74</v>
      </c>
      <c r="E43" s="262" t="s">
        <v>13</v>
      </c>
      <c r="F43" s="272">
        <v>40507.0</v>
      </c>
      <c r="G43" s="273">
        <v>35524.0</v>
      </c>
      <c r="H43" s="289">
        <f t="shared" ref="H43:H46" si="7">J43-G43</f>
        <v>-4098</v>
      </c>
      <c r="I43" s="287">
        <f t="shared" ref="I43:I46" si="8">H43/G43</f>
        <v>-0.1153586308</v>
      </c>
      <c r="J43" s="267">
        <f>J44+J45</f>
        <v>31426</v>
      </c>
      <c r="K43" s="308" t="s">
        <v>144</v>
      </c>
    </row>
    <row r="44" ht="40.5" customHeight="1">
      <c r="A44" s="316"/>
      <c r="B44" s="260" t="s">
        <v>181</v>
      </c>
      <c r="C44" s="305" t="s">
        <v>176</v>
      </c>
      <c r="D44" s="262" t="s">
        <v>74</v>
      </c>
      <c r="E44" s="262" t="s">
        <v>13</v>
      </c>
      <c r="F44" s="272">
        <v>16685.0</v>
      </c>
      <c r="G44" s="273">
        <v>16701.0</v>
      </c>
      <c r="H44" s="289">
        <f t="shared" si="7"/>
        <v>-1041</v>
      </c>
      <c r="I44" s="287">
        <f t="shared" si="8"/>
        <v>-0.06233159691</v>
      </c>
      <c r="J44" s="267">
        <v>15660.0</v>
      </c>
      <c r="K44" s="317"/>
    </row>
    <row r="45" ht="40.5" customHeight="1">
      <c r="A45" s="316"/>
      <c r="B45" s="260" t="s">
        <v>182</v>
      </c>
      <c r="C45" s="305" t="s">
        <v>177</v>
      </c>
      <c r="D45" s="262" t="s">
        <v>74</v>
      </c>
      <c r="E45" s="262" t="s">
        <v>13</v>
      </c>
      <c r="F45" s="272">
        <v>22782.0</v>
      </c>
      <c r="G45" s="273">
        <v>18605.0</v>
      </c>
      <c r="H45" s="289">
        <f t="shared" si="7"/>
        <v>-2839</v>
      </c>
      <c r="I45" s="287">
        <f t="shared" si="8"/>
        <v>-0.1525933889</v>
      </c>
      <c r="J45" s="267">
        <v>15766.0</v>
      </c>
      <c r="K45" s="317"/>
    </row>
    <row r="46" ht="34.5" customHeight="1">
      <c r="A46" s="316"/>
      <c r="B46" s="260" t="s">
        <v>183</v>
      </c>
      <c r="C46" s="305" t="s">
        <v>145</v>
      </c>
      <c r="D46" s="262" t="s">
        <v>77</v>
      </c>
      <c r="E46" s="262" t="s">
        <v>13</v>
      </c>
      <c r="F46" s="272">
        <v>2414.0</v>
      </c>
      <c r="G46" s="273">
        <v>2217.0</v>
      </c>
      <c r="H46" s="289">
        <f t="shared" si="7"/>
        <v>-623</v>
      </c>
      <c r="I46" s="287">
        <f t="shared" si="8"/>
        <v>-0.2810103744</v>
      </c>
      <c r="J46" s="267">
        <v>1594.0</v>
      </c>
      <c r="K46" s="317" t="s">
        <v>153</v>
      </c>
    </row>
    <row r="47" ht="52.5" customHeight="1">
      <c r="A47" s="318"/>
      <c r="B47" s="260" t="s">
        <v>184</v>
      </c>
      <c r="C47" s="305" t="s">
        <v>148</v>
      </c>
      <c r="D47" s="262" t="s">
        <v>149</v>
      </c>
      <c r="E47" s="262" t="s">
        <v>13</v>
      </c>
      <c r="F47" s="319">
        <v>0.362</v>
      </c>
      <c r="G47" s="320">
        <v>0.2873</v>
      </c>
      <c r="H47" s="287">
        <f>G47-F47</f>
        <v>-0.0747</v>
      </c>
      <c r="I47" s="287">
        <f>J47-G47</f>
        <v>0</v>
      </c>
      <c r="J47" s="322">
        <v>0.2873</v>
      </c>
      <c r="K47" s="323"/>
    </row>
    <row r="48" ht="34.5" customHeight="1">
      <c r="A48" s="324" t="s">
        <v>78</v>
      </c>
      <c r="B48" s="260" t="s">
        <v>79</v>
      </c>
      <c r="C48" s="305" t="s">
        <v>80</v>
      </c>
      <c r="D48" s="262" t="s">
        <v>81</v>
      </c>
      <c r="E48" s="262" t="s">
        <v>13</v>
      </c>
      <c r="F48" s="325">
        <v>259786.0</v>
      </c>
      <c r="G48" s="326">
        <v>285134.0</v>
      </c>
      <c r="H48" s="327">
        <f t="shared" ref="H48:H50" si="9">SUM(J48-G48)</f>
        <v>-57244.21</v>
      </c>
      <c r="I48" s="287">
        <f t="shared" ref="I48:I50" si="10">H48/G48</f>
        <v>-0.2007624836</v>
      </c>
      <c r="J48" s="328">
        <f>45889.79+182000</f>
        <v>227889.79</v>
      </c>
      <c r="K48" s="308" t="s">
        <v>49</v>
      </c>
    </row>
    <row r="49" ht="41.25" customHeight="1">
      <c r="A49" s="329"/>
      <c r="B49" s="260" t="s">
        <v>83</v>
      </c>
      <c r="C49" s="330" t="s">
        <v>84</v>
      </c>
      <c r="D49" s="262" t="s">
        <v>85</v>
      </c>
      <c r="E49" s="262" t="s">
        <v>13</v>
      </c>
      <c r="F49" s="325">
        <v>65430.0</v>
      </c>
      <c r="G49" s="326">
        <v>105064.0</v>
      </c>
      <c r="H49" s="327">
        <f t="shared" si="9"/>
        <v>-35064</v>
      </c>
      <c r="I49" s="287">
        <f t="shared" si="10"/>
        <v>-0.333739435</v>
      </c>
      <c r="J49" s="331">
        <v>70000.0</v>
      </c>
      <c r="K49" s="308" t="s">
        <v>49</v>
      </c>
    </row>
    <row r="50" ht="34.5" customHeight="1">
      <c r="A50" s="332"/>
      <c r="B50" s="260" t="s">
        <v>86</v>
      </c>
      <c r="C50" s="330" t="s">
        <v>87</v>
      </c>
      <c r="D50" s="262" t="s">
        <v>88</v>
      </c>
      <c r="E50" s="262" t="s">
        <v>13</v>
      </c>
      <c r="F50" s="325">
        <v>567.0</v>
      </c>
      <c r="G50" s="326">
        <v>14042.0</v>
      </c>
      <c r="H50" s="327">
        <f t="shared" si="9"/>
        <v>-9042</v>
      </c>
      <c r="I50" s="287">
        <f t="shared" si="10"/>
        <v>-0.6439253668</v>
      </c>
      <c r="J50" s="328">
        <v>5000.0</v>
      </c>
      <c r="K50" s="308" t="s">
        <v>49</v>
      </c>
    </row>
    <row r="51" ht="67.5" customHeight="1">
      <c r="A51" s="333" t="s">
        <v>89</v>
      </c>
      <c r="B51" s="245" t="s">
        <v>90</v>
      </c>
      <c r="C51" s="185" t="s">
        <v>91</v>
      </c>
      <c r="D51" s="45" t="s">
        <v>92</v>
      </c>
      <c r="E51" s="102" t="s">
        <v>13</v>
      </c>
      <c r="F51" s="334" t="s">
        <v>155</v>
      </c>
      <c r="G51" s="335" t="s">
        <v>155</v>
      </c>
      <c r="H51" s="336" t="s">
        <v>94</v>
      </c>
      <c r="I51" s="337"/>
      <c r="J51" s="338" t="s">
        <v>155</v>
      </c>
      <c r="K51" s="126" t="s">
        <v>95</v>
      </c>
    </row>
    <row r="52" ht="15.75" customHeight="1">
      <c r="A52" s="339"/>
      <c r="B52" s="231" t="s">
        <v>96</v>
      </c>
      <c r="C52" s="232" t="s">
        <v>97</v>
      </c>
      <c r="D52" s="102" t="s">
        <v>98</v>
      </c>
      <c r="E52" s="102"/>
      <c r="F52" s="340"/>
      <c r="G52" s="340"/>
      <c r="H52" s="340"/>
      <c r="I52" s="340"/>
      <c r="J52" s="340"/>
      <c r="K52" s="131" t="s">
        <v>185</v>
      </c>
    </row>
    <row r="53" ht="15.75" customHeight="1">
      <c r="A53" s="341"/>
      <c r="B53" s="233" t="s">
        <v>100</v>
      </c>
      <c r="C53" s="200" t="s">
        <v>101</v>
      </c>
      <c r="D53" s="80" t="s">
        <v>102</v>
      </c>
      <c r="E53" s="53"/>
      <c r="F53" s="342"/>
      <c r="G53" s="342"/>
      <c r="H53" s="342"/>
      <c r="I53" s="343"/>
      <c r="J53" s="342"/>
      <c r="K53" s="138" t="s">
        <v>104</v>
      </c>
    </row>
    <row r="54" ht="180.0" customHeight="1">
      <c r="A54" s="344" t="s">
        <v>105</v>
      </c>
      <c r="B54" s="227" t="s">
        <v>106</v>
      </c>
      <c r="C54" s="214" t="s">
        <v>107</v>
      </c>
      <c r="D54" s="36" t="s">
        <v>157</v>
      </c>
      <c r="E54" s="121" t="s">
        <v>13</v>
      </c>
      <c r="F54" s="237">
        <v>0.2678</v>
      </c>
      <c r="G54" s="238">
        <v>0.2879</v>
      </c>
      <c r="H54" s="142">
        <f>-(-J54+G54)/G54</f>
        <v>-0.1115407113</v>
      </c>
      <c r="I54" s="69">
        <f t="shared" ref="I54:I56" si="11">J54-G54</f>
        <v>-0.03211257077</v>
      </c>
      <c r="J54" s="239">
        <f>1776081.9/6943585.56</f>
        <v>0.2557874292</v>
      </c>
      <c r="K54" s="144" t="s">
        <v>186</v>
      </c>
    </row>
    <row r="55" ht="15.75" customHeight="1">
      <c r="A55" s="339"/>
      <c r="B55" s="240" t="s">
        <v>110</v>
      </c>
      <c r="C55" s="241" t="s">
        <v>111</v>
      </c>
      <c r="D55" s="44" t="s">
        <v>112</v>
      </c>
      <c r="E55" s="102"/>
      <c r="F55" s="242">
        <v>0.3265</v>
      </c>
      <c r="G55" s="243">
        <v>0.352</v>
      </c>
      <c r="H55" s="142">
        <f>-(-G55+F55)/F55</f>
        <v>0.07810107198</v>
      </c>
      <c r="I55" s="69">
        <f t="shared" si="11"/>
        <v>-0.0463309544</v>
      </c>
      <c r="J55" s="244">
        <f>2122439/6943585</f>
        <v>0.3056690456</v>
      </c>
      <c r="K55" s="144" t="s">
        <v>187</v>
      </c>
    </row>
    <row r="56" ht="15.75" customHeight="1">
      <c r="A56" s="339"/>
      <c r="B56" s="245" t="s">
        <v>113</v>
      </c>
      <c r="C56" s="185" t="s">
        <v>114</v>
      </c>
      <c r="D56" s="45" t="s">
        <v>188</v>
      </c>
      <c r="E56" s="102"/>
      <c r="F56" s="246">
        <v>0.8126</v>
      </c>
      <c r="G56" s="247">
        <v>0.7065</v>
      </c>
      <c r="H56" s="248">
        <f>-(-J56+G56)/G56</f>
        <v>0.0895825839</v>
      </c>
      <c r="I56" s="69">
        <f t="shared" si="11"/>
        <v>0.06329009553</v>
      </c>
      <c r="J56" s="249">
        <f>61244.5/79560</f>
        <v>0.7697900955</v>
      </c>
      <c r="K56" s="144"/>
    </row>
    <row r="57" ht="15.75" customHeight="1">
      <c r="A57" s="22"/>
      <c r="B57" s="250" t="s">
        <v>116</v>
      </c>
      <c r="C57" s="251" t="s">
        <v>117</v>
      </c>
      <c r="D57" s="155" t="s">
        <v>118</v>
      </c>
      <c r="E57" s="155"/>
      <c r="F57" s="252">
        <v>951.0</v>
      </c>
      <c r="G57" s="253">
        <v>489.0</v>
      </c>
      <c r="H57" s="158">
        <f>J57-G57</f>
        <v>43</v>
      </c>
      <c r="I57" s="254">
        <f>H57/G57</f>
        <v>0.08793456033</v>
      </c>
      <c r="J57" s="255">
        <v>532.0</v>
      </c>
      <c r="K57" s="256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G3:G4"/>
    <mergeCell ref="H3:H4"/>
    <mergeCell ref="A1:B2"/>
    <mergeCell ref="C1:G2"/>
    <mergeCell ref="H1:K2"/>
    <mergeCell ref="A3:A4"/>
    <mergeCell ref="B3:B4"/>
    <mergeCell ref="C3:C4"/>
    <mergeCell ref="D3:D4"/>
    <mergeCell ref="K3:K4"/>
    <mergeCell ref="E3:E4"/>
    <mergeCell ref="F3:F4"/>
    <mergeCell ref="A6:A10"/>
    <mergeCell ref="A11:A15"/>
    <mergeCell ref="A16:A20"/>
    <mergeCell ref="A21:A25"/>
    <mergeCell ref="A26:A29"/>
    <mergeCell ref="K30:K33"/>
    <mergeCell ref="K35:K37"/>
    <mergeCell ref="I3:I4"/>
    <mergeCell ref="J3:J4"/>
    <mergeCell ref="K6:K9"/>
    <mergeCell ref="K11:K14"/>
    <mergeCell ref="K16:K19"/>
    <mergeCell ref="K21:K24"/>
    <mergeCell ref="K26:K29"/>
    <mergeCell ref="H51:H53"/>
    <mergeCell ref="I51:I53"/>
    <mergeCell ref="J51:J53"/>
    <mergeCell ref="A30:A33"/>
    <mergeCell ref="A34:A37"/>
    <mergeCell ref="A38:A42"/>
    <mergeCell ref="A43:A47"/>
    <mergeCell ref="A51:A53"/>
    <mergeCell ref="F51:F53"/>
    <mergeCell ref="G51:G53"/>
    <mergeCell ref="A54:A57"/>
  </mergeCells>
  <printOptions/>
  <pageMargins bottom="0.75" footer="0.0" header="0.0" left="0.7" right="0.7" top="0.75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  <col customWidth="1" min="11" max="11" width="24.0"/>
  </cols>
  <sheetData>
    <row r="1">
      <c r="A1" s="165"/>
      <c r="B1" s="4"/>
      <c r="C1" s="166" t="s">
        <v>189</v>
      </c>
      <c r="D1" s="4"/>
      <c r="E1" s="4"/>
      <c r="F1" s="4"/>
      <c r="G1" s="2"/>
      <c r="H1" s="167" t="s">
        <v>162</v>
      </c>
      <c r="I1" s="4"/>
      <c r="J1" s="4"/>
      <c r="K1" s="6"/>
    </row>
    <row r="2" ht="33.0" customHeight="1">
      <c r="A2" s="8"/>
      <c r="B2" s="11"/>
      <c r="C2" s="8"/>
      <c r="D2" s="11"/>
      <c r="E2" s="11"/>
      <c r="F2" s="11"/>
      <c r="G2" s="9"/>
      <c r="H2" s="10"/>
      <c r="I2" s="11"/>
      <c r="J2" s="11"/>
      <c r="K2" s="12"/>
    </row>
    <row r="3">
      <c r="A3" s="13" t="s">
        <v>2</v>
      </c>
      <c r="B3" s="168" t="s">
        <v>3</v>
      </c>
      <c r="C3" s="13" t="s">
        <v>4</v>
      </c>
      <c r="D3" s="16" t="s">
        <v>5</v>
      </c>
      <c r="E3" s="169" t="s">
        <v>6</v>
      </c>
      <c r="F3" s="170">
        <v>2018.0</v>
      </c>
      <c r="G3" s="345">
        <v>2019.0</v>
      </c>
      <c r="H3" s="16" t="s">
        <v>190</v>
      </c>
      <c r="I3" s="16" t="s">
        <v>123</v>
      </c>
      <c r="J3" s="172">
        <v>2020.0</v>
      </c>
      <c r="K3" s="173" t="s">
        <v>191</v>
      </c>
    </row>
    <row r="4">
      <c r="A4" s="22"/>
      <c r="B4" s="174"/>
      <c r="C4" s="22"/>
      <c r="D4" s="23"/>
      <c r="E4" s="174"/>
      <c r="F4" s="24"/>
      <c r="G4" s="24"/>
      <c r="H4" s="23"/>
      <c r="I4" s="23"/>
      <c r="J4" s="24"/>
      <c r="K4" s="25"/>
    </row>
    <row r="5">
      <c r="A5" s="175"/>
      <c r="B5" s="258"/>
      <c r="C5" s="177"/>
      <c r="D5" s="178"/>
      <c r="E5" s="179"/>
      <c r="F5" s="180"/>
      <c r="G5" s="346"/>
      <c r="H5" s="179"/>
      <c r="I5" s="179"/>
      <c r="J5" s="182"/>
      <c r="K5" s="183"/>
    </row>
    <row r="6">
      <c r="A6" s="259" t="s">
        <v>125</v>
      </c>
      <c r="B6" s="260" t="s">
        <v>10</v>
      </c>
      <c r="C6" s="261" t="s">
        <v>11</v>
      </c>
      <c r="D6" s="262" t="s">
        <v>126</v>
      </c>
      <c r="E6" s="262" t="s">
        <v>13</v>
      </c>
      <c r="F6" s="263">
        <v>12151.0</v>
      </c>
      <c r="G6" s="347">
        <f>G7+G8+G9</f>
        <v>14401</v>
      </c>
      <c r="H6" s="265">
        <f t="shared" ref="H6:H9" si="1">SUM(J6-G6)</f>
        <v>-919</v>
      </c>
      <c r="I6" s="266">
        <f t="shared" ref="I6:I41" si="2">H6/G6</f>
        <v>-0.06381501285</v>
      </c>
      <c r="J6" s="267">
        <f>J7+J8+J9</f>
        <v>13482</v>
      </c>
      <c r="K6" s="268" t="s">
        <v>192</v>
      </c>
    </row>
    <row r="7">
      <c r="A7" s="269"/>
      <c r="B7" s="260" t="s">
        <v>15</v>
      </c>
      <c r="C7" s="261" t="s">
        <v>127</v>
      </c>
      <c r="D7" s="262" t="s">
        <v>128</v>
      </c>
      <c r="E7" s="262" t="s">
        <v>13</v>
      </c>
      <c r="F7" s="263">
        <v>7278.0</v>
      </c>
      <c r="G7" s="347">
        <v>7918.0</v>
      </c>
      <c r="H7" s="265">
        <f t="shared" si="1"/>
        <v>-1459</v>
      </c>
      <c r="I7" s="266">
        <f t="shared" si="2"/>
        <v>-0.184263703</v>
      </c>
      <c r="J7" s="267">
        <v>6459.0</v>
      </c>
      <c r="K7" s="270"/>
    </row>
    <row r="8">
      <c r="A8" s="269"/>
      <c r="B8" s="260" t="s">
        <v>19</v>
      </c>
      <c r="C8" s="261" t="s">
        <v>129</v>
      </c>
      <c r="D8" s="262" t="s">
        <v>130</v>
      </c>
      <c r="E8" s="262" t="s">
        <v>13</v>
      </c>
      <c r="F8" s="263">
        <v>4873.0</v>
      </c>
      <c r="G8" s="347">
        <v>4790.0</v>
      </c>
      <c r="H8" s="265">
        <f t="shared" si="1"/>
        <v>632</v>
      </c>
      <c r="I8" s="266">
        <f t="shared" si="2"/>
        <v>0.1319415449</v>
      </c>
      <c r="J8" s="267">
        <v>5422.0</v>
      </c>
      <c r="K8" s="270"/>
    </row>
    <row r="9">
      <c r="A9" s="269"/>
      <c r="B9" s="260" t="s">
        <v>164</v>
      </c>
      <c r="C9" s="271" t="s">
        <v>165</v>
      </c>
      <c r="D9" s="262" t="s">
        <v>166</v>
      </c>
      <c r="E9" s="262" t="s">
        <v>13</v>
      </c>
      <c r="F9" s="272">
        <v>1652.0</v>
      </c>
      <c r="G9" s="347">
        <v>1693.0</v>
      </c>
      <c r="H9" s="265">
        <f t="shared" si="1"/>
        <v>-92</v>
      </c>
      <c r="I9" s="266">
        <f t="shared" si="2"/>
        <v>-0.05434140579</v>
      </c>
      <c r="J9" s="267">
        <v>1601.0</v>
      </c>
      <c r="K9" s="274"/>
    </row>
    <row r="10">
      <c r="A10" s="275"/>
      <c r="B10" s="260" t="s">
        <v>167</v>
      </c>
      <c r="C10" s="276" t="s">
        <v>23</v>
      </c>
      <c r="D10" s="53" t="s">
        <v>24</v>
      </c>
      <c r="E10" s="53" t="s">
        <v>13</v>
      </c>
      <c r="F10" s="193">
        <v>2.84</v>
      </c>
      <c r="G10" s="348">
        <v>2.72</v>
      </c>
      <c r="H10" s="286">
        <f>J10-G10</f>
        <v>-0.14</v>
      </c>
      <c r="I10" s="69">
        <f t="shared" si="2"/>
        <v>-0.05147058824</v>
      </c>
      <c r="J10" s="349">
        <v>2.58</v>
      </c>
      <c r="K10" s="57" t="s">
        <v>131</v>
      </c>
    </row>
    <row r="11">
      <c r="A11" s="278" t="s">
        <v>132</v>
      </c>
      <c r="B11" s="260" t="s">
        <v>27</v>
      </c>
      <c r="C11" s="279" t="s">
        <v>11</v>
      </c>
      <c r="D11" s="262" t="s">
        <v>126</v>
      </c>
      <c r="E11" s="53" t="s">
        <v>13</v>
      </c>
      <c r="F11" s="280">
        <v>12728.0</v>
      </c>
      <c r="G11" s="347">
        <f>G12+G13+G14</f>
        <v>16753</v>
      </c>
      <c r="H11" s="282">
        <f t="shared" ref="H11:H14" si="3">SUM(J11-G11)</f>
        <v>-1874</v>
      </c>
      <c r="I11" s="283">
        <f t="shared" si="2"/>
        <v>-0.1118605623</v>
      </c>
      <c r="J11" s="267">
        <f>J12+J13+J14</f>
        <v>14879</v>
      </c>
      <c r="K11" s="268" t="s">
        <v>192</v>
      </c>
    </row>
    <row r="12">
      <c r="A12" s="269"/>
      <c r="B12" s="260" t="s">
        <v>29</v>
      </c>
      <c r="C12" s="261" t="s">
        <v>127</v>
      </c>
      <c r="D12" s="262" t="s">
        <v>128</v>
      </c>
      <c r="E12" s="262" t="s">
        <v>13</v>
      </c>
      <c r="F12" s="263">
        <v>8793.0</v>
      </c>
      <c r="G12" s="347">
        <v>10717.0</v>
      </c>
      <c r="H12" s="265">
        <f t="shared" si="3"/>
        <v>-1769</v>
      </c>
      <c r="I12" s="283">
        <f t="shared" si="2"/>
        <v>-0.1650648502</v>
      </c>
      <c r="J12" s="267">
        <v>8948.0</v>
      </c>
      <c r="K12" s="270"/>
    </row>
    <row r="13">
      <c r="A13" s="269"/>
      <c r="B13" s="260" t="s">
        <v>32</v>
      </c>
      <c r="C13" s="261" t="s">
        <v>129</v>
      </c>
      <c r="D13" s="262" t="s">
        <v>130</v>
      </c>
      <c r="E13" s="262" t="s">
        <v>13</v>
      </c>
      <c r="F13" s="263">
        <v>3935.0</v>
      </c>
      <c r="G13" s="347">
        <v>4626.0</v>
      </c>
      <c r="H13" s="265">
        <f t="shared" si="3"/>
        <v>549</v>
      </c>
      <c r="I13" s="283">
        <f t="shared" si="2"/>
        <v>0.1186770428</v>
      </c>
      <c r="J13" s="267">
        <v>5175.0</v>
      </c>
      <c r="K13" s="270"/>
    </row>
    <row r="14">
      <c r="A14" s="269"/>
      <c r="B14" s="260" t="s">
        <v>168</v>
      </c>
      <c r="C14" s="271" t="s">
        <v>165</v>
      </c>
      <c r="D14" s="262" t="s">
        <v>166</v>
      </c>
      <c r="E14" s="262" t="s">
        <v>13</v>
      </c>
      <c r="F14" s="263">
        <v>1131.0</v>
      </c>
      <c r="G14" s="347">
        <v>1410.0</v>
      </c>
      <c r="H14" s="265">
        <f t="shared" si="3"/>
        <v>-654</v>
      </c>
      <c r="I14" s="283">
        <f t="shared" si="2"/>
        <v>-0.4638297872</v>
      </c>
      <c r="J14" s="267">
        <v>756.0</v>
      </c>
      <c r="K14" s="274"/>
    </row>
    <row r="15">
      <c r="A15" s="275"/>
      <c r="B15" s="260" t="s">
        <v>35</v>
      </c>
      <c r="C15" s="276" t="s">
        <v>23</v>
      </c>
      <c r="D15" s="53" t="s">
        <v>24</v>
      </c>
      <c r="E15" s="53" t="s">
        <v>13</v>
      </c>
      <c r="F15" s="350">
        <v>2.84</v>
      </c>
      <c r="G15" s="351">
        <v>2.73</v>
      </c>
      <c r="H15" s="286">
        <f>J15-G15</f>
        <v>-0.12</v>
      </c>
      <c r="I15" s="287">
        <f t="shared" si="2"/>
        <v>-0.04395604396</v>
      </c>
      <c r="J15" s="288">
        <v>2.61</v>
      </c>
      <c r="K15" s="57" t="s">
        <v>134</v>
      </c>
    </row>
    <row r="16">
      <c r="A16" s="278" t="s">
        <v>135</v>
      </c>
      <c r="B16" s="260" t="s">
        <v>38</v>
      </c>
      <c r="C16" s="279" t="s">
        <v>11</v>
      </c>
      <c r="D16" s="262" t="s">
        <v>126</v>
      </c>
      <c r="E16" s="262" t="s">
        <v>13</v>
      </c>
      <c r="F16" s="280">
        <v>3427.0</v>
      </c>
      <c r="G16" s="352">
        <f>G17+G18+G19</f>
        <v>3530</v>
      </c>
      <c r="H16" s="289">
        <f t="shared" ref="H16:H19" si="4">SUM(J16-G16)</f>
        <v>397</v>
      </c>
      <c r="I16" s="287">
        <f t="shared" si="2"/>
        <v>0.1124645892</v>
      </c>
      <c r="J16" s="290">
        <f>J17+J18+J19</f>
        <v>3927</v>
      </c>
      <c r="K16" s="268" t="s">
        <v>192</v>
      </c>
    </row>
    <row r="17">
      <c r="A17" s="269"/>
      <c r="B17" s="260" t="s">
        <v>40</v>
      </c>
      <c r="C17" s="261" t="s">
        <v>127</v>
      </c>
      <c r="D17" s="262" t="s">
        <v>128</v>
      </c>
      <c r="E17" s="262" t="s">
        <v>13</v>
      </c>
      <c r="F17" s="263">
        <v>2372.0</v>
      </c>
      <c r="G17" s="352">
        <v>2254.0</v>
      </c>
      <c r="H17" s="289">
        <f t="shared" si="4"/>
        <v>256</v>
      </c>
      <c r="I17" s="287">
        <f t="shared" si="2"/>
        <v>0.1135758651</v>
      </c>
      <c r="J17" s="290">
        <v>2510.0</v>
      </c>
      <c r="K17" s="270"/>
    </row>
    <row r="18">
      <c r="A18" s="269"/>
      <c r="B18" s="260" t="s">
        <v>43</v>
      </c>
      <c r="C18" s="261" t="s">
        <v>129</v>
      </c>
      <c r="D18" s="262" t="s">
        <v>130</v>
      </c>
      <c r="E18" s="262" t="s">
        <v>13</v>
      </c>
      <c r="F18" s="263">
        <v>1055.0</v>
      </c>
      <c r="G18" s="347">
        <v>1123.0</v>
      </c>
      <c r="H18" s="265">
        <f t="shared" si="4"/>
        <v>223</v>
      </c>
      <c r="I18" s="287">
        <f t="shared" si="2"/>
        <v>0.1985752449</v>
      </c>
      <c r="J18" s="267">
        <v>1346.0</v>
      </c>
      <c r="K18" s="270"/>
    </row>
    <row r="19">
      <c r="A19" s="269"/>
      <c r="B19" s="260" t="s">
        <v>170</v>
      </c>
      <c r="C19" s="271" t="s">
        <v>165</v>
      </c>
      <c r="D19" s="262" t="s">
        <v>166</v>
      </c>
      <c r="E19" s="262" t="s">
        <v>13</v>
      </c>
      <c r="F19" s="263">
        <v>106.0</v>
      </c>
      <c r="G19" s="347">
        <v>153.0</v>
      </c>
      <c r="H19" s="265">
        <f t="shared" si="4"/>
        <v>-82</v>
      </c>
      <c r="I19" s="287">
        <f t="shared" si="2"/>
        <v>-0.5359477124</v>
      </c>
      <c r="J19" s="267">
        <v>71.0</v>
      </c>
      <c r="K19" s="274"/>
    </row>
    <row r="20">
      <c r="A20" s="275"/>
      <c r="B20" s="260" t="s">
        <v>45</v>
      </c>
      <c r="C20" s="291" t="s">
        <v>23</v>
      </c>
      <c r="D20" s="102" t="s">
        <v>24</v>
      </c>
      <c r="E20" s="102" t="s">
        <v>13</v>
      </c>
      <c r="F20" s="292">
        <v>2.8</v>
      </c>
      <c r="G20" s="353">
        <v>2.6</v>
      </c>
      <c r="H20" s="294">
        <f>J20-G20</f>
        <v>0.05</v>
      </c>
      <c r="I20" s="295">
        <f t="shared" si="2"/>
        <v>0.01923076923</v>
      </c>
      <c r="J20" s="296">
        <v>2.65</v>
      </c>
      <c r="K20" s="57" t="s">
        <v>136</v>
      </c>
    </row>
    <row r="21" ht="15.75" customHeight="1">
      <c r="A21" s="278" t="s">
        <v>137</v>
      </c>
      <c r="B21" s="260" t="s">
        <v>48</v>
      </c>
      <c r="C21" s="261" t="s">
        <v>11</v>
      </c>
      <c r="D21" s="262" t="s">
        <v>126</v>
      </c>
      <c r="E21" s="262" t="s">
        <v>13</v>
      </c>
      <c r="F21" s="272">
        <v>1570.0</v>
      </c>
      <c r="G21" s="347">
        <f>G22+G23+G24</f>
        <v>1928</v>
      </c>
      <c r="H21" s="289">
        <f t="shared" ref="H21:H24" si="5">SUM(J21-G21)</f>
        <v>-414</v>
      </c>
      <c r="I21" s="287">
        <f t="shared" si="2"/>
        <v>-0.2147302905</v>
      </c>
      <c r="J21" s="267">
        <f>J22+J23+J24</f>
        <v>1514</v>
      </c>
      <c r="K21" s="268" t="s">
        <v>192</v>
      </c>
    </row>
    <row r="22" ht="15.75" customHeight="1">
      <c r="A22" s="269"/>
      <c r="B22" s="260" t="s">
        <v>50</v>
      </c>
      <c r="C22" s="261" t="s">
        <v>127</v>
      </c>
      <c r="D22" s="262" t="s">
        <v>128</v>
      </c>
      <c r="E22" s="262" t="s">
        <v>13</v>
      </c>
      <c r="F22" s="272">
        <v>536.0</v>
      </c>
      <c r="G22" s="347">
        <v>576.0</v>
      </c>
      <c r="H22" s="289">
        <f t="shared" si="5"/>
        <v>-173</v>
      </c>
      <c r="I22" s="287">
        <f t="shared" si="2"/>
        <v>-0.3003472222</v>
      </c>
      <c r="J22" s="267">
        <v>403.0</v>
      </c>
      <c r="K22" s="270"/>
    </row>
    <row r="23" ht="15.75" customHeight="1">
      <c r="A23" s="269"/>
      <c r="B23" s="260" t="s">
        <v>51</v>
      </c>
      <c r="C23" s="261" t="s">
        <v>129</v>
      </c>
      <c r="D23" s="262" t="s">
        <v>130</v>
      </c>
      <c r="E23" s="262" t="s">
        <v>13</v>
      </c>
      <c r="F23" s="272">
        <v>1034.0</v>
      </c>
      <c r="G23" s="347">
        <v>828.0</v>
      </c>
      <c r="H23" s="289">
        <f t="shared" si="5"/>
        <v>-161</v>
      </c>
      <c r="I23" s="287">
        <f t="shared" si="2"/>
        <v>-0.1944444444</v>
      </c>
      <c r="J23" s="267">
        <v>667.0</v>
      </c>
      <c r="K23" s="270"/>
    </row>
    <row r="24" ht="15.75" customHeight="1">
      <c r="A24" s="269"/>
      <c r="B24" s="260" t="s">
        <v>171</v>
      </c>
      <c r="C24" s="271" t="s">
        <v>165</v>
      </c>
      <c r="D24" s="262" t="s">
        <v>166</v>
      </c>
      <c r="E24" s="262" t="s">
        <v>13</v>
      </c>
      <c r="F24" s="272">
        <v>723.0</v>
      </c>
      <c r="G24" s="347">
        <v>524.0</v>
      </c>
      <c r="H24" s="289">
        <f t="shared" si="5"/>
        <v>-80</v>
      </c>
      <c r="I24" s="287">
        <f t="shared" si="2"/>
        <v>-0.1526717557</v>
      </c>
      <c r="J24" s="267">
        <v>444.0</v>
      </c>
      <c r="K24" s="274"/>
    </row>
    <row r="25" ht="15.75" customHeight="1">
      <c r="A25" s="275"/>
      <c r="B25" s="260" t="s">
        <v>172</v>
      </c>
      <c r="C25" s="297" t="s">
        <v>23</v>
      </c>
      <c r="D25" s="121" t="s">
        <v>24</v>
      </c>
      <c r="E25" s="121" t="s">
        <v>13</v>
      </c>
      <c r="F25" s="298">
        <v>2.9</v>
      </c>
      <c r="G25" s="354">
        <v>3.0</v>
      </c>
      <c r="H25" s="300">
        <f>J25-G25</f>
        <v>-0.05</v>
      </c>
      <c r="I25" s="301">
        <f t="shared" si="2"/>
        <v>-0.01666666667</v>
      </c>
      <c r="J25" s="355">
        <v>2.95</v>
      </c>
      <c r="K25" s="303" t="s">
        <v>136</v>
      </c>
    </row>
    <row r="26" ht="15.75" customHeight="1">
      <c r="A26" s="304" t="s">
        <v>138</v>
      </c>
      <c r="B26" s="260" t="s">
        <v>56</v>
      </c>
      <c r="C26" s="305" t="s">
        <v>11</v>
      </c>
      <c r="D26" s="262" t="s">
        <v>126</v>
      </c>
      <c r="E26" s="262" t="s">
        <v>13</v>
      </c>
      <c r="F26" s="272">
        <v>4296.0</v>
      </c>
      <c r="G26" s="347">
        <f>G27+G28+G29</f>
        <v>3905</v>
      </c>
      <c r="H26" s="289">
        <f t="shared" ref="H26:H41" si="6">SUM(J26-G26)</f>
        <v>-748</v>
      </c>
      <c r="I26" s="287">
        <f t="shared" si="2"/>
        <v>-0.1915492958</v>
      </c>
      <c r="J26" s="267">
        <f>J27+J28+J29</f>
        <v>3157</v>
      </c>
      <c r="K26" s="268" t="s">
        <v>192</v>
      </c>
    </row>
    <row r="27" ht="15.75" customHeight="1">
      <c r="A27" s="269"/>
      <c r="B27" s="260" t="s">
        <v>57</v>
      </c>
      <c r="C27" s="305" t="s">
        <v>127</v>
      </c>
      <c r="D27" s="262" t="s">
        <v>128</v>
      </c>
      <c r="E27" s="262" t="s">
        <v>13</v>
      </c>
      <c r="F27" s="272">
        <v>2040.0</v>
      </c>
      <c r="G27" s="347">
        <v>1993.0</v>
      </c>
      <c r="H27" s="289">
        <f t="shared" si="6"/>
        <v>-548</v>
      </c>
      <c r="I27" s="287">
        <f t="shared" si="2"/>
        <v>-0.2749623683</v>
      </c>
      <c r="J27" s="267">
        <v>1445.0</v>
      </c>
      <c r="K27" s="270"/>
    </row>
    <row r="28" ht="15.75" customHeight="1">
      <c r="A28" s="269"/>
      <c r="B28" s="260" t="s">
        <v>59</v>
      </c>
      <c r="C28" s="305" t="s">
        <v>129</v>
      </c>
      <c r="D28" s="262" t="s">
        <v>130</v>
      </c>
      <c r="E28" s="262" t="s">
        <v>13</v>
      </c>
      <c r="F28" s="272">
        <v>2256.0</v>
      </c>
      <c r="G28" s="347">
        <v>1848.0</v>
      </c>
      <c r="H28" s="289">
        <f t="shared" si="6"/>
        <v>-170</v>
      </c>
      <c r="I28" s="287">
        <f t="shared" si="2"/>
        <v>-0.09199134199</v>
      </c>
      <c r="J28" s="267">
        <v>1678.0</v>
      </c>
      <c r="K28" s="270"/>
    </row>
    <row r="29" ht="15.75" customHeight="1">
      <c r="A29" s="275"/>
      <c r="B29" s="260" t="s">
        <v>173</v>
      </c>
      <c r="C29" s="305" t="s">
        <v>165</v>
      </c>
      <c r="D29" s="262" t="s">
        <v>166</v>
      </c>
      <c r="E29" s="262" t="s">
        <v>13</v>
      </c>
      <c r="F29" s="272">
        <v>59.0</v>
      </c>
      <c r="G29" s="347">
        <v>64.0</v>
      </c>
      <c r="H29" s="289">
        <f t="shared" si="6"/>
        <v>-30</v>
      </c>
      <c r="I29" s="287">
        <f t="shared" si="2"/>
        <v>-0.46875</v>
      </c>
      <c r="J29" s="267">
        <v>34.0</v>
      </c>
      <c r="K29" s="274"/>
    </row>
    <row r="30" ht="15.75" customHeight="1">
      <c r="A30" s="278" t="s">
        <v>139</v>
      </c>
      <c r="B30" s="260" t="s">
        <v>62</v>
      </c>
      <c r="C30" s="305" t="s">
        <v>11</v>
      </c>
      <c r="D30" s="262" t="s">
        <v>126</v>
      </c>
      <c r="E30" s="262" t="s">
        <v>13</v>
      </c>
      <c r="F30" s="272">
        <v>13118.0</v>
      </c>
      <c r="G30" s="347">
        <f>G31+G32+G33</f>
        <v>14716</v>
      </c>
      <c r="H30" s="289">
        <f t="shared" si="6"/>
        <v>-1634</v>
      </c>
      <c r="I30" s="287">
        <f t="shared" si="2"/>
        <v>-0.1110356075</v>
      </c>
      <c r="J30" s="267">
        <f>J31+J32+J33</f>
        <v>13082</v>
      </c>
      <c r="K30" s="268" t="s">
        <v>192</v>
      </c>
    </row>
    <row r="31" ht="15.75" customHeight="1">
      <c r="A31" s="269"/>
      <c r="B31" s="260" t="s">
        <v>63</v>
      </c>
      <c r="C31" s="305" t="s">
        <v>127</v>
      </c>
      <c r="D31" s="262" t="s">
        <v>128</v>
      </c>
      <c r="E31" s="262" t="s">
        <v>13</v>
      </c>
      <c r="F31" s="272">
        <v>7417.0</v>
      </c>
      <c r="G31" s="347">
        <v>7680.0</v>
      </c>
      <c r="H31" s="289">
        <f t="shared" si="6"/>
        <v>-1240</v>
      </c>
      <c r="I31" s="287">
        <f t="shared" si="2"/>
        <v>-0.1614583333</v>
      </c>
      <c r="J31" s="267">
        <v>6440.0</v>
      </c>
      <c r="K31" s="270"/>
    </row>
    <row r="32" ht="15.75" customHeight="1">
      <c r="A32" s="269"/>
      <c r="B32" s="260" t="s">
        <v>65</v>
      </c>
      <c r="C32" s="305" t="s">
        <v>129</v>
      </c>
      <c r="D32" s="262" t="s">
        <v>130</v>
      </c>
      <c r="E32" s="262" t="s">
        <v>13</v>
      </c>
      <c r="F32" s="272">
        <v>5701.0</v>
      </c>
      <c r="G32" s="347">
        <v>5856.0</v>
      </c>
      <c r="H32" s="289">
        <f t="shared" si="6"/>
        <v>303</v>
      </c>
      <c r="I32" s="287">
        <f t="shared" si="2"/>
        <v>0.05174180328</v>
      </c>
      <c r="J32" s="267">
        <v>6159.0</v>
      </c>
      <c r="K32" s="270"/>
    </row>
    <row r="33" ht="15.75" customHeight="1">
      <c r="A33" s="275"/>
      <c r="B33" s="260" t="s">
        <v>174</v>
      </c>
      <c r="C33" s="305" t="s">
        <v>165</v>
      </c>
      <c r="D33" s="262" t="s">
        <v>166</v>
      </c>
      <c r="E33" s="262" t="s">
        <v>13</v>
      </c>
      <c r="F33" s="272">
        <v>907.0</v>
      </c>
      <c r="G33" s="347">
        <v>1180.0</v>
      </c>
      <c r="H33" s="289">
        <f t="shared" si="6"/>
        <v>-697</v>
      </c>
      <c r="I33" s="287">
        <f t="shared" si="2"/>
        <v>-0.5906779661</v>
      </c>
      <c r="J33" s="267">
        <v>483.0</v>
      </c>
      <c r="K33" s="274"/>
    </row>
    <row r="34" ht="15.75" customHeight="1">
      <c r="A34" s="307" t="s">
        <v>141</v>
      </c>
      <c r="B34" s="190" t="s">
        <v>68</v>
      </c>
      <c r="C34" s="305" t="s">
        <v>11</v>
      </c>
      <c r="D34" s="262" t="s">
        <v>126</v>
      </c>
      <c r="E34" s="262" t="s">
        <v>13</v>
      </c>
      <c r="F34" s="272">
        <v>4433.0</v>
      </c>
      <c r="G34" s="347">
        <f>G35+G36+G37</f>
        <v>4656</v>
      </c>
      <c r="H34" s="289">
        <f t="shared" si="6"/>
        <v>-1817</v>
      </c>
      <c r="I34" s="287">
        <f t="shared" si="2"/>
        <v>-0.3902491409</v>
      </c>
      <c r="J34" s="267">
        <f>J35+J36+J37</f>
        <v>2839</v>
      </c>
      <c r="K34" s="308"/>
    </row>
    <row r="35" ht="15.75" customHeight="1">
      <c r="A35" s="309"/>
      <c r="B35" s="190" t="s">
        <v>69</v>
      </c>
      <c r="C35" s="305" t="s">
        <v>127</v>
      </c>
      <c r="D35" s="262" t="s">
        <v>128</v>
      </c>
      <c r="E35" s="262" t="s">
        <v>13</v>
      </c>
      <c r="F35" s="272">
        <v>2544.0</v>
      </c>
      <c r="G35" s="347">
        <v>2552.0</v>
      </c>
      <c r="H35" s="289">
        <f t="shared" si="6"/>
        <v>-1291</v>
      </c>
      <c r="I35" s="287">
        <f t="shared" si="2"/>
        <v>-0.5058777429</v>
      </c>
      <c r="J35" s="267">
        <v>1261.0</v>
      </c>
      <c r="K35" s="268" t="s">
        <v>192</v>
      </c>
    </row>
    <row r="36" ht="15.75" customHeight="1">
      <c r="A36" s="309"/>
      <c r="B36" s="209" t="s">
        <v>71</v>
      </c>
      <c r="C36" s="305" t="s">
        <v>129</v>
      </c>
      <c r="D36" s="262" t="s">
        <v>130</v>
      </c>
      <c r="E36" s="262" t="s">
        <v>13</v>
      </c>
      <c r="F36" s="272">
        <v>1889.0</v>
      </c>
      <c r="G36" s="347">
        <v>1916.0</v>
      </c>
      <c r="H36" s="289">
        <f t="shared" si="6"/>
        <v>-499</v>
      </c>
      <c r="I36" s="287">
        <f t="shared" si="2"/>
        <v>-0.2604384134</v>
      </c>
      <c r="J36" s="267">
        <v>1417.0</v>
      </c>
      <c r="K36" s="270"/>
    </row>
    <row r="37" ht="15.75" customHeight="1">
      <c r="A37" s="312"/>
      <c r="B37" s="313" t="s">
        <v>175</v>
      </c>
      <c r="C37" s="305" t="s">
        <v>165</v>
      </c>
      <c r="D37" s="262" t="s">
        <v>166</v>
      </c>
      <c r="E37" s="262" t="s">
        <v>13</v>
      </c>
      <c r="F37" s="272">
        <v>204.0</v>
      </c>
      <c r="G37" s="347">
        <v>188.0</v>
      </c>
      <c r="H37" s="289">
        <f t="shared" si="6"/>
        <v>-27</v>
      </c>
      <c r="I37" s="287">
        <f t="shared" si="2"/>
        <v>-0.1436170213</v>
      </c>
      <c r="J37" s="267">
        <v>161.0</v>
      </c>
      <c r="K37" s="274"/>
    </row>
    <row r="38" ht="15.75" customHeight="1">
      <c r="A38" s="315" t="s">
        <v>143</v>
      </c>
      <c r="B38" s="260" t="s">
        <v>73</v>
      </c>
      <c r="C38" s="305" t="s">
        <v>11</v>
      </c>
      <c r="D38" s="262" t="s">
        <v>74</v>
      </c>
      <c r="E38" s="262" t="s">
        <v>13</v>
      </c>
      <c r="F38" s="272">
        <v>11072.0</v>
      </c>
      <c r="G38" s="347">
        <f>G39+G40</f>
        <v>10939</v>
      </c>
      <c r="H38" s="289">
        <f t="shared" si="6"/>
        <v>-1472</v>
      </c>
      <c r="I38" s="287">
        <f t="shared" si="2"/>
        <v>-0.1345644026</v>
      </c>
      <c r="J38" s="267">
        <f>J39+J40</f>
        <v>9467</v>
      </c>
      <c r="K38" s="308" t="s">
        <v>193</v>
      </c>
    </row>
    <row r="39" ht="15.75" customHeight="1">
      <c r="A39" s="316"/>
      <c r="B39" s="260" t="s">
        <v>75</v>
      </c>
      <c r="C39" s="305" t="s">
        <v>176</v>
      </c>
      <c r="D39" s="262" t="s">
        <v>74</v>
      </c>
      <c r="E39" s="262" t="s">
        <v>13</v>
      </c>
      <c r="F39" s="272">
        <v>7786.0</v>
      </c>
      <c r="G39" s="347">
        <v>8189.0</v>
      </c>
      <c r="H39" s="289">
        <f t="shared" si="6"/>
        <v>-996</v>
      </c>
      <c r="I39" s="287">
        <f t="shared" si="2"/>
        <v>-0.1216265722</v>
      </c>
      <c r="J39" s="267">
        <v>7193.0</v>
      </c>
      <c r="K39" s="317"/>
    </row>
    <row r="40" ht="15.75" customHeight="1">
      <c r="A40" s="316"/>
      <c r="B40" s="260" t="s">
        <v>147</v>
      </c>
      <c r="C40" s="305" t="s">
        <v>177</v>
      </c>
      <c r="D40" s="262" t="s">
        <v>74</v>
      </c>
      <c r="E40" s="262" t="s">
        <v>13</v>
      </c>
      <c r="F40" s="272">
        <v>3172.0</v>
      </c>
      <c r="G40" s="347">
        <v>2750.0</v>
      </c>
      <c r="H40" s="289">
        <f t="shared" si="6"/>
        <v>-476</v>
      </c>
      <c r="I40" s="287">
        <f t="shared" si="2"/>
        <v>-0.1730909091</v>
      </c>
      <c r="J40" s="267">
        <v>2274.0</v>
      </c>
      <c r="K40" s="317"/>
    </row>
    <row r="41" ht="15.75" customHeight="1">
      <c r="A41" s="316"/>
      <c r="B41" s="260" t="s">
        <v>178</v>
      </c>
      <c r="C41" s="305" t="s">
        <v>145</v>
      </c>
      <c r="D41" s="262" t="s">
        <v>77</v>
      </c>
      <c r="E41" s="262" t="s">
        <v>13</v>
      </c>
      <c r="F41" s="272">
        <v>1830.0</v>
      </c>
      <c r="G41" s="347">
        <v>1830.0</v>
      </c>
      <c r="H41" s="289">
        <f t="shared" si="6"/>
        <v>286</v>
      </c>
      <c r="I41" s="287">
        <f t="shared" si="2"/>
        <v>0.156284153</v>
      </c>
      <c r="J41" s="267">
        <v>2116.0</v>
      </c>
      <c r="K41" s="317" t="s">
        <v>194</v>
      </c>
    </row>
    <row r="42" ht="15.75" customHeight="1">
      <c r="A42" s="318"/>
      <c r="B42" s="260" t="s">
        <v>179</v>
      </c>
      <c r="C42" s="305" t="s">
        <v>148</v>
      </c>
      <c r="D42" s="262" t="s">
        <v>149</v>
      </c>
      <c r="E42" s="262" t="s">
        <v>13</v>
      </c>
      <c r="F42" s="319">
        <v>0.1283</v>
      </c>
      <c r="G42" s="356">
        <v>0.1283</v>
      </c>
      <c r="H42" s="287">
        <f>G42-F42</f>
        <v>0</v>
      </c>
      <c r="I42" s="321" t="s">
        <v>151</v>
      </c>
      <c r="J42" s="322">
        <v>0.105</v>
      </c>
      <c r="K42" s="323"/>
    </row>
    <row r="43" ht="15.75" customHeight="1">
      <c r="A43" s="315" t="s">
        <v>152</v>
      </c>
      <c r="B43" s="260" t="s">
        <v>180</v>
      </c>
      <c r="C43" s="305" t="s">
        <v>11</v>
      </c>
      <c r="D43" s="262" t="s">
        <v>74</v>
      </c>
      <c r="E43" s="262" t="s">
        <v>13</v>
      </c>
      <c r="F43" s="272">
        <v>35524.0</v>
      </c>
      <c r="G43" s="347">
        <f>G44+G45</f>
        <v>31426</v>
      </c>
      <c r="H43" s="289">
        <f t="shared" ref="H43:H46" si="7">J43-G43</f>
        <v>-8242</v>
      </c>
      <c r="I43" s="287">
        <f t="shared" ref="I43:I46" si="8">H43/G43</f>
        <v>-0.2622669127</v>
      </c>
      <c r="J43" s="267">
        <f>J44+J45</f>
        <v>23184</v>
      </c>
      <c r="K43" s="308" t="s">
        <v>195</v>
      </c>
    </row>
    <row r="44" ht="15.75" customHeight="1">
      <c r="A44" s="316"/>
      <c r="B44" s="260" t="s">
        <v>181</v>
      </c>
      <c r="C44" s="305" t="s">
        <v>176</v>
      </c>
      <c r="D44" s="262" t="s">
        <v>74</v>
      </c>
      <c r="E44" s="262" t="s">
        <v>13</v>
      </c>
      <c r="F44" s="272">
        <v>16701.0</v>
      </c>
      <c r="G44" s="347">
        <v>15660.0</v>
      </c>
      <c r="H44" s="289">
        <f t="shared" si="7"/>
        <v>-4068</v>
      </c>
      <c r="I44" s="287">
        <f t="shared" si="8"/>
        <v>-0.2597701149</v>
      </c>
      <c r="J44" s="267">
        <v>11592.0</v>
      </c>
      <c r="K44" s="317"/>
    </row>
    <row r="45" ht="15.75" customHeight="1">
      <c r="A45" s="316"/>
      <c r="B45" s="260" t="s">
        <v>182</v>
      </c>
      <c r="C45" s="305" t="s">
        <v>177</v>
      </c>
      <c r="D45" s="262" t="s">
        <v>74</v>
      </c>
      <c r="E45" s="262" t="s">
        <v>13</v>
      </c>
      <c r="F45" s="272">
        <v>18605.0</v>
      </c>
      <c r="G45" s="347">
        <v>15766.0</v>
      </c>
      <c r="H45" s="289">
        <f t="shared" si="7"/>
        <v>-4174</v>
      </c>
      <c r="I45" s="287">
        <f t="shared" si="8"/>
        <v>-0.2647469238</v>
      </c>
      <c r="J45" s="267">
        <v>11592.0</v>
      </c>
      <c r="K45" s="317"/>
    </row>
    <row r="46" ht="15.75" customHeight="1">
      <c r="A46" s="316"/>
      <c r="B46" s="260" t="s">
        <v>183</v>
      </c>
      <c r="C46" s="305" t="s">
        <v>145</v>
      </c>
      <c r="D46" s="262" t="s">
        <v>77</v>
      </c>
      <c r="E46" s="262" t="s">
        <v>13</v>
      </c>
      <c r="F46" s="272">
        <v>2217.0</v>
      </c>
      <c r="G46" s="347">
        <v>1594.0</v>
      </c>
      <c r="H46" s="289">
        <f t="shared" si="7"/>
        <v>11</v>
      </c>
      <c r="I46" s="287">
        <f t="shared" si="8"/>
        <v>0.006900878294</v>
      </c>
      <c r="J46" s="267">
        <v>1605.0</v>
      </c>
      <c r="K46" s="317" t="s">
        <v>153</v>
      </c>
    </row>
    <row r="47" ht="15.75" customHeight="1">
      <c r="A47" s="318"/>
      <c r="B47" s="260" t="s">
        <v>184</v>
      </c>
      <c r="C47" s="305" t="s">
        <v>148</v>
      </c>
      <c r="D47" s="262" t="s">
        <v>149</v>
      </c>
      <c r="E47" s="262" t="s">
        <v>13</v>
      </c>
      <c r="F47" s="319">
        <v>0.2873</v>
      </c>
      <c r="G47" s="356">
        <v>0.2873</v>
      </c>
      <c r="H47" s="287">
        <f>G47-F47</f>
        <v>0</v>
      </c>
      <c r="I47" s="287" t="str">
        <f>J47-G47</f>
        <v>#VALUE!</v>
      </c>
      <c r="J47" s="267" t="s">
        <v>196</v>
      </c>
      <c r="K47" s="323" t="s">
        <v>197</v>
      </c>
    </row>
    <row r="48" ht="15.75" customHeight="1">
      <c r="A48" s="324" t="s">
        <v>78</v>
      </c>
      <c r="B48" s="260" t="s">
        <v>79</v>
      </c>
      <c r="C48" s="305" t="s">
        <v>80</v>
      </c>
      <c r="D48" s="262" t="s">
        <v>81</v>
      </c>
      <c r="E48" s="262" t="s">
        <v>13</v>
      </c>
      <c r="F48" s="325">
        <v>285134.0</v>
      </c>
      <c r="G48" s="357">
        <f>45889.79+182000</f>
        <v>227889.79</v>
      </c>
      <c r="H48" s="327">
        <f t="shared" ref="H48:H50" si="9">SUM(J48-G48)</f>
        <v>26878.21</v>
      </c>
      <c r="I48" s="287">
        <f t="shared" ref="I48:I50" si="10">H48/G48</f>
        <v>0.1179438974</v>
      </c>
      <c r="J48" s="328">
        <v>254768.0</v>
      </c>
      <c r="K48" s="308" t="s">
        <v>49</v>
      </c>
    </row>
    <row r="49" ht="15.75" customHeight="1">
      <c r="A49" s="329"/>
      <c r="B49" s="260" t="s">
        <v>83</v>
      </c>
      <c r="C49" s="330" t="s">
        <v>84</v>
      </c>
      <c r="D49" s="262" t="s">
        <v>85</v>
      </c>
      <c r="E49" s="262" t="s">
        <v>13</v>
      </c>
      <c r="F49" s="325">
        <v>105064.0</v>
      </c>
      <c r="G49" s="358">
        <v>70000.0</v>
      </c>
      <c r="H49" s="327">
        <f t="shared" si="9"/>
        <v>6000</v>
      </c>
      <c r="I49" s="287">
        <f t="shared" si="10"/>
        <v>0.08571428571</v>
      </c>
      <c r="J49" s="331">
        <v>76000.0</v>
      </c>
      <c r="K49" s="308" t="s">
        <v>49</v>
      </c>
    </row>
    <row r="50" ht="15.75" customHeight="1">
      <c r="A50" s="332"/>
      <c r="B50" s="260" t="s">
        <v>86</v>
      </c>
      <c r="C50" s="330" t="s">
        <v>87</v>
      </c>
      <c r="D50" s="262" t="s">
        <v>88</v>
      </c>
      <c r="E50" s="262" t="s">
        <v>13</v>
      </c>
      <c r="F50" s="325">
        <v>14042.0</v>
      </c>
      <c r="G50" s="357">
        <v>5000.0</v>
      </c>
      <c r="H50" s="327">
        <f t="shared" si="9"/>
        <v>-3048</v>
      </c>
      <c r="I50" s="287">
        <f t="shared" si="10"/>
        <v>-0.6096</v>
      </c>
      <c r="J50" s="328">
        <v>1952.0</v>
      </c>
      <c r="K50" s="308" t="s">
        <v>49</v>
      </c>
    </row>
    <row r="51" ht="15.75" customHeight="1">
      <c r="A51" s="333" t="s">
        <v>89</v>
      </c>
      <c r="B51" s="245" t="s">
        <v>90</v>
      </c>
      <c r="C51" s="185" t="s">
        <v>91</v>
      </c>
      <c r="D51" s="45" t="s">
        <v>92</v>
      </c>
      <c r="E51" s="102" t="s">
        <v>13</v>
      </c>
      <c r="F51" s="334" t="s">
        <v>155</v>
      </c>
      <c r="G51" s="359" t="s">
        <v>155</v>
      </c>
      <c r="H51" s="336" t="s">
        <v>94</v>
      </c>
      <c r="I51" s="336"/>
      <c r="J51" s="338" t="s">
        <v>155</v>
      </c>
      <c r="K51" s="126" t="s">
        <v>95</v>
      </c>
    </row>
    <row r="52" ht="15.75" customHeight="1">
      <c r="A52" s="339"/>
      <c r="B52" s="231" t="s">
        <v>96</v>
      </c>
      <c r="C52" s="232" t="s">
        <v>97</v>
      </c>
      <c r="D52" s="102" t="s">
        <v>98</v>
      </c>
      <c r="E52" s="102"/>
      <c r="F52" s="340"/>
      <c r="G52" s="340"/>
      <c r="H52" s="340"/>
      <c r="I52" s="340"/>
      <c r="J52" s="340"/>
      <c r="K52" s="131" t="s">
        <v>198</v>
      </c>
    </row>
    <row r="53" ht="15.75" customHeight="1">
      <c r="A53" s="341"/>
      <c r="B53" s="233" t="s">
        <v>100</v>
      </c>
      <c r="C53" s="200" t="s">
        <v>101</v>
      </c>
      <c r="D53" s="80" t="s">
        <v>102</v>
      </c>
      <c r="E53" s="53"/>
      <c r="F53" s="342"/>
      <c r="G53" s="342"/>
      <c r="H53" s="342"/>
      <c r="I53" s="342"/>
      <c r="J53" s="342"/>
      <c r="K53" s="138" t="s">
        <v>104</v>
      </c>
    </row>
    <row r="54" ht="15.75" customHeight="1">
      <c r="A54" s="344" t="s">
        <v>105</v>
      </c>
      <c r="B54" s="227" t="s">
        <v>106</v>
      </c>
      <c r="C54" s="214" t="s">
        <v>107</v>
      </c>
      <c r="D54" s="36" t="s">
        <v>157</v>
      </c>
      <c r="E54" s="121" t="s">
        <v>13</v>
      </c>
      <c r="F54" s="237">
        <v>0.2879</v>
      </c>
      <c r="G54" s="360">
        <f>1776081.9/6943585.56</f>
        <v>0.2557874292</v>
      </c>
      <c r="H54" s="142">
        <f>-(-J54+G54)/G54</f>
        <v>-0.04330288653</v>
      </c>
      <c r="I54" s="69">
        <f t="shared" ref="I54:I56" si="11">J54-G54</f>
        <v>-0.01107633402</v>
      </c>
      <c r="J54" s="239">
        <f>1372748/5609668</f>
        <v>0.2447110952</v>
      </c>
      <c r="K54" s="144" t="s">
        <v>186</v>
      </c>
    </row>
    <row r="55" ht="15.75" customHeight="1">
      <c r="A55" s="339"/>
      <c r="B55" s="240" t="s">
        <v>110</v>
      </c>
      <c r="C55" s="241" t="s">
        <v>111</v>
      </c>
      <c r="D55" s="44" t="s">
        <v>112</v>
      </c>
      <c r="E55" s="102"/>
      <c r="F55" s="242">
        <v>0.352</v>
      </c>
      <c r="G55" s="361">
        <f>2122439/6943585</f>
        <v>0.3056690456</v>
      </c>
      <c r="H55" s="142">
        <f>-(-G55+F55)/F55</f>
        <v>-0.1316220295</v>
      </c>
      <c r="I55" s="69">
        <f t="shared" si="11"/>
        <v>-0.0004582915957</v>
      </c>
      <c r="J55" s="244">
        <f>1712131/5609668</f>
        <v>0.305210754</v>
      </c>
      <c r="K55" s="144" t="s">
        <v>187</v>
      </c>
    </row>
    <row r="56" ht="15.75" customHeight="1">
      <c r="A56" s="339"/>
      <c r="B56" s="245" t="s">
        <v>113</v>
      </c>
      <c r="C56" s="185" t="s">
        <v>114</v>
      </c>
      <c r="D56" s="45" t="s">
        <v>188</v>
      </c>
      <c r="E56" s="102"/>
      <c r="F56" s="246">
        <v>0.7065</v>
      </c>
      <c r="G56" s="362">
        <f>61244.5/79560</f>
        <v>0.7697900955</v>
      </c>
      <c r="H56" s="248">
        <f>-(-J56+G56)/G56</f>
        <v>-0.03662049653</v>
      </c>
      <c r="I56" s="69">
        <f t="shared" si="11"/>
        <v>-0.02819009553</v>
      </c>
      <c r="J56" s="249">
        <v>0.7416</v>
      </c>
      <c r="K56" s="144"/>
    </row>
    <row r="57" ht="15.75" customHeight="1">
      <c r="A57" s="22"/>
      <c r="B57" s="250" t="s">
        <v>116</v>
      </c>
      <c r="C57" s="251" t="s">
        <v>117</v>
      </c>
      <c r="D57" s="155" t="s">
        <v>118</v>
      </c>
      <c r="E57" s="155"/>
      <c r="F57" s="252">
        <v>489.0</v>
      </c>
      <c r="G57" s="363">
        <v>532.0</v>
      </c>
      <c r="H57" s="158">
        <f>J57-G57</f>
        <v>-204</v>
      </c>
      <c r="I57" s="254">
        <f>H57/G57</f>
        <v>-0.3834586466</v>
      </c>
      <c r="J57" s="255">
        <v>328.0</v>
      </c>
      <c r="K57" s="256" t="s">
        <v>192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G3:G4"/>
    <mergeCell ref="H3:H4"/>
    <mergeCell ref="A1:B2"/>
    <mergeCell ref="C1:G2"/>
    <mergeCell ref="H1:K2"/>
    <mergeCell ref="A3:A4"/>
    <mergeCell ref="B3:B4"/>
    <mergeCell ref="C3:C4"/>
    <mergeCell ref="D3:D4"/>
    <mergeCell ref="K3:K4"/>
    <mergeCell ref="E3:E4"/>
    <mergeCell ref="F3:F4"/>
    <mergeCell ref="A6:A10"/>
    <mergeCell ref="A11:A15"/>
    <mergeCell ref="A16:A20"/>
    <mergeCell ref="A21:A25"/>
    <mergeCell ref="A26:A29"/>
    <mergeCell ref="K30:K33"/>
    <mergeCell ref="K35:K37"/>
    <mergeCell ref="I3:I4"/>
    <mergeCell ref="J3:J4"/>
    <mergeCell ref="K6:K9"/>
    <mergeCell ref="K11:K14"/>
    <mergeCell ref="K16:K19"/>
    <mergeCell ref="K21:K24"/>
    <mergeCell ref="K26:K29"/>
    <mergeCell ref="H51:H53"/>
    <mergeCell ref="I51:I53"/>
    <mergeCell ref="J51:J53"/>
    <mergeCell ref="A30:A33"/>
    <mergeCell ref="A34:A37"/>
    <mergeCell ref="A38:A42"/>
    <mergeCell ref="A43:A47"/>
    <mergeCell ref="A51:A53"/>
    <mergeCell ref="F51:F53"/>
    <mergeCell ref="G51:G53"/>
    <mergeCell ref="A54:A57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6" width="14.43"/>
    <col customWidth="1" min="11" max="11" width="24.0"/>
  </cols>
  <sheetData>
    <row r="1">
      <c r="A1" s="165"/>
      <c r="B1" s="4"/>
      <c r="C1" s="166" t="s">
        <v>199</v>
      </c>
      <c r="D1" s="4"/>
      <c r="E1" s="4"/>
      <c r="F1" s="4"/>
      <c r="G1" s="2"/>
      <c r="H1" s="167" t="s">
        <v>162</v>
      </c>
      <c r="I1" s="4"/>
      <c r="J1" s="4"/>
      <c r="K1" s="6"/>
    </row>
    <row r="2" ht="33.0" customHeight="1">
      <c r="A2" s="8"/>
      <c r="B2" s="11"/>
      <c r="C2" s="8"/>
      <c r="D2" s="11"/>
      <c r="E2" s="11"/>
      <c r="F2" s="11"/>
      <c r="G2" s="9"/>
      <c r="H2" s="10"/>
      <c r="I2" s="11"/>
      <c r="J2" s="11"/>
      <c r="K2" s="12"/>
    </row>
    <row r="3">
      <c r="A3" s="13" t="s">
        <v>2</v>
      </c>
      <c r="B3" s="168" t="s">
        <v>3</v>
      </c>
      <c r="C3" s="13" t="s">
        <v>4</v>
      </c>
      <c r="D3" s="16" t="s">
        <v>5</v>
      </c>
      <c r="E3" s="169" t="s">
        <v>6</v>
      </c>
      <c r="F3" s="345">
        <v>2019.0</v>
      </c>
      <c r="G3" s="172">
        <v>2020.0</v>
      </c>
      <c r="H3" s="16" t="s">
        <v>200</v>
      </c>
      <c r="I3" s="16" t="s">
        <v>123</v>
      </c>
      <c r="J3" s="170">
        <v>2021.0</v>
      </c>
      <c r="K3" s="173" t="s">
        <v>201</v>
      </c>
    </row>
    <row r="4">
      <c r="A4" s="22"/>
      <c r="B4" s="174"/>
      <c r="C4" s="22"/>
      <c r="D4" s="23"/>
      <c r="E4" s="174"/>
      <c r="F4" s="24"/>
      <c r="G4" s="24"/>
      <c r="H4" s="23"/>
      <c r="I4" s="23"/>
      <c r="J4" s="24"/>
      <c r="K4" s="25"/>
    </row>
    <row r="5">
      <c r="A5" s="175"/>
      <c r="B5" s="258"/>
      <c r="C5" s="177"/>
      <c r="D5" s="178"/>
      <c r="E5" s="179"/>
      <c r="F5" s="346"/>
      <c r="G5" s="182"/>
      <c r="H5" s="179"/>
      <c r="I5" s="179"/>
      <c r="J5" s="180"/>
      <c r="K5" s="183"/>
    </row>
    <row r="6">
      <c r="A6" s="259" t="s">
        <v>125</v>
      </c>
      <c r="B6" s="260" t="s">
        <v>10</v>
      </c>
      <c r="C6" s="261" t="s">
        <v>11</v>
      </c>
      <c r="D6" s="262" t="s">
        <v>126</v>
      </c>
      <c r="E6" s="262" t="s">
        <v>13</v>
      </c>
      <c r="F6" s="347">
        <f t="shared" ref="F6:G6" si="1">F7+F8+F9</f>
        <v>14401</v>
      </c>
      <c r="G6" s="267">
        <f t="shared" si="1"/>
        <v>13482</v>
      </c>
      <c r="H6" s="265">
        <f t="shared" ref="H6:H9" si="2">SUM(J6-G6)</f>
        <v>-2487</v>
      </c>
      <c r="I6" s="266">
        <f t="shared" ref="I6:I41" si="3">H6/G6</f>
        <v>-0.1844681798</v>
      </c>
      <c r="J6" s="272">
        <f>J7+J8+J9</f>
        <v>10995</v>
      </c>
      <c r="K6" s="268" t="s">
        <v>202</v>
      </c>
    </row>
    <row r="7">
      <c r="A7" s="269"/>
      <c r="B7" s="260" t="s">
        <v>15</v>
      </c>
      <c r="C7" s="261" t="s">
        <v>127</v>
      </c>
      <c r="D7" s="262" t="s">
        <v>128</v>
      </c>
      <c r="E7" s="262" t="s">
        <v>13</v>
      </c>
      <c r="F7" s="347">
        <v>7918.0</v>
      </c>
      <c r="G7" s="267">
        <v>6459.0</v>
      </c>
      <c r="H7" s="265">
        <f t="shared" si="2"/>
        <v>-2721</v>
      </c>
      <c r="I7" s="266">
        <f t="shared" si="3"/>
        <v>-0.4212726428</v>
      </c>
      <c r="J7" s="272">
        <v>3738.0</v>
      </c>
      <c r="K7" s="270"/>
    </row>
    <row r="8">
      <c r="A8" s="269"/>
      <c r="B8" s="260" t="s">
        <v>19</v>
      </c>
      <c r="C8" s="261" t="s">
        <v>129</v>
      </c>
      <c r="D8" s="262" t="s">
        <v>130</v>
      </c>
      <c r="E8" s="262" t="s">
        <v>13</v>
      </c>
      <c r="F8" s="347">
        <v>4790.0</v>
      </c>
      <c r="G8" s="267">
        <v>5422.0</v>
      </c>
      <c r="H8" s="265">
        <f t="shared" si="2"/>
        <v>-911</v>
      </c>
      <c r="I8" s="266">
        <f t="shared" si="3"/>
        <v>-0.1680191811</v>
      </c>
      <c r="J8" s="272">
        <v>4511.0</v>
      </c>
      <c r="K8" s="270"/>
    </row>
    <row r="9">
      <c r="A9" s="269"/>
      <c r="B9" s="260" t="s">
        <v>164</v>
      </c>
      <c r="C9" s="271" t="s">
        <v>165</v>
      </c>
      <c r="D9" s="262" t="s">
        <v>166</v>
      </c>
      <c r="E9" s="262" t="s">
        <v>13</v>
      </c>
      <c r="F9" s="347">
        <v>1693.0</v>
      </c>
      <c r="G9" s="267">
        <v>1601.0</v>
      </c>
      <c r="H9" s="265">
        <f t="shared" si="2"/>
        <v>1145</v>
      </c>
      <c r="I9" s="266">
        <f t="shared" si="3"/>
        <v>0.7151780137</v>
      </c>
      <c r="J9" s="272">
        <v>2746.0</v>
      </c>
      <c r="K9" s="274"/>
    </row>
    <row r="10">
      <c r="A10" s="275"/>
      <c r="B10" s="260" t="s">
        <v>167</v>
      </c>
      <c r="C10" s="276" t="s">
        <v>23</v>
      </c>
      <c r="D10" s="53" t="s">
        <v>24</v>
      </c>
      <c r="E10" s="53" t="s">
        <v>13</v>
      </c>
      <c r="F10" s="348">
        <v>2.72</v>
      </c>
      <c r="G10" s="349">
        <v>2.58</v>
      </c>
      <c r="H10" s="286">
        <f>J10-G10</f>
        <v>0.05</v>
      </c>
      <c r="I10" s="69">
        <f t="shared" si="3"/>
        <v>0.01937984496</v>
      </c>
      <c r="J10" s="364">
        <v>2.63</v>
      </c>
      <c r="K10" s="365" t="s">
        <v>131</v>
      </c>
    </row>
    <row r="11">
      <c r="A11" s="278" t="s">
        <v>132</v>
      </c>
      <c r="B11" s="260" t="s">
        <v>27</v>
      </c>
      <c r="C11" s="279" t="s">
        <v>11</v>
      </c>
      <c r="D11" s="262" t="s">
        <v>126</v>
      </c>
      <c r="E11" s="53" t="s">
        <v>13</v>
      </c>
      <c r="F11" s="347">
        <f t="shared" ref="F11:G11" si="4">F12+F13+F14</f>
        <v>16753</v>
      </c>
      <c r="G11" s="267">
        <f t="shared" si="4"/>
        <v>14879</v>
      </c>
      <c r="H11" s="282">
        <f t="shared" ref="H11:H14" si="5">SUM(J11-G11)</f>
        <v>1209</v>
      </c>
      <c r="I11" s="283">
        <f t="shared" si="3"/>
        <v>0.08125546072</v>
      </c>
      <c r="J11" s="272">
        <f>J12+J13+J14</f>
        <v>16088</v>
      </c>
      <c r="K11" s="268" t="s">
        <v>203</v>
      </c>
    </row>
    <row r="12">
      <c r="A12" s="269"/>
      <c r="B12" s="260" t="s">
        <v>29</v>
      </c>
      <c r="C12" s="261" t="s">
        <v>127</v>
      </c>
      <c r="D12" s="262" t="s">
        <v>128</v>
      </c>
      <c r="E12" s="262" t="s">
        <v>13</v>
      </c>
      <c r="F12" s="347">
        <v>10717.0</v>
      </c>
      <c r="G12" s="267">
        <v>8948.0</v>
      </c>
      <c r="H12" s="265">
        <f t="shared" si="5"/>
        <v>-363</v>
      </c>
      <c r="I12" s="283">
        <f t="shared" si="3"/>
        <v>-0.04056772463</v>
      </c>
      <c r="J12" s="272">
        <v>8585.0</v>
      </c>
      <c r="K12" s="270"/>
    </row>
    <row r="13">
      <c r="A13" s="269"/>
      <c r="B13" s="260" t="s">
        <v>32</v>
      </c>
      <c r="C13" s="261" t="s">
        <v>129</v>
      </c>
      <c r="D13" s="262" t="s">
        <v>130</v>
      </c>
      <c r="E13" s="262" t="s">
        <v>13</v>
      </c>
      <c r="F13" s="347">
        <v>4626.0</v>
      </c>
      <c r="G13" s="267">
        <v>5175.0</v>
      </c>
      <c r="H13" s="265">
        <f t="shared" si="5"/>
        <v>552</v>
      </c>
      <c r="I13" s="283">
        <f t="shared" si="3"/>
        <v>0.1066666667</v>
      </c>
      <c r="J13" s="272">
        <v>5727.0</v>
      </c>
      <c r="K13" s="270"/>
    </row>
    <row r="14">
      <c r="A14" s="269"/>
      <c r="B14" s="260" t="s">
        <v>168</v>
      </c>
      <c r="C14" s="271" t="s">
        <v>165</v>
      </c>
      <c r="D14" s="262" t="s">
        <v>166</v>
      </c>
      <c r="E14" s="262" t="s">
        <v>13</v>
      </c>
      <c r="F14" s="347">
        <v>1410.0</v>
      </c>
      <c r="G14" s="267">
        <v>756.0</v>
      </c>
      <c r="H14" s="265">
        <f t="shared" si="5"/>
        <v>1020</v>
      </c>
      <c r="I14" s="283">
        <f t="shared" si="3"/>
        <v>1.349206349</v>
      </c>
      <c r="J14" s="272">
        <v>1776.0</v>
      </c>
      <c r="K14" s="274"/>
    </row>
    <row r="15">
      <c r="A15" s="275"/>
      <c r="B15" s="260" t="s">
        <v>35</v>
      </c>
      <c r="C15" s="276" t="s">
        <v>23</v>
      </c>
      <c r="D15" s="53" t="s">
        <v>24</v>
      </c>
      <c r="E15" s="53" t="s">
        <v>13</v>
      </c>
      <c r="F15" s="351">
        <v>2.73</v>
      </c>
      <c r="G15" s="288">
        <v>2.61</v>
      </c>
      <c r="H15" s="286">
        <f>J15-G15</f>
        <v>0.09</v>
      </c>
      <c r="I15" s="287">
        <f t="shared" si="3"/>
        <v>0.03448275862</v>
      </c>
      <c r="J15" s="364">
        <v>2.7</v>
      </c>
      <c r="K15" s="366" t="s">
        <v>134</v>
      </c>
    </row>
    <row r="16">
      <c r="A16" s="278" t="s">
        <v>135</v>
      </c>
      <c r="B16" s="260" t="s">
        <v>38</v>
      </c>
      <c r="C16" s="279" t="s">
        <v>11</v>
      </c>
      <c r="D16" s="262" t="s">
        <v>126</v>
      </c>
      <c r="E16" s="262" t="s">
        <v>13</v>
      </c>
      <c r="F16" s="352">
        <f t="shared" ref="F16:G16" si="6">F17+F18+F19</f>
        <v>3530</v>
      </c>
      <c r="G16" s="290">
        <f t="shared" si="6"/>
        <v>3927</v>
      </c>
      <c r="H16" s="289">
        <f t="shared" ref="H16:H19" si="7">SUM(J16-G16)</f>
        <v>430</v>
      </c>
      <c r="I16" s="287">
        <f t="shared" si="3"/>
        <v>0.1094983448</v>
      </c>
      <c r="J16" s="367">
        <f>J17+J18+J19</f>
        <v>4357</v>
      </c>
      <c r="K16" s="268" t="s">
        <v>203</v>
      </c>
    </row>
    <row r="17">
      <c r="A17" s="269"/>
      <c r="B17" s="260" t="s">
        <v>40</v>
      </c>
      <c r="C17" s="261" t="s">
        <v>127</v>
      </c>
      <c r="D17" s="262" t="s">
        <v>128</v>
      </c>
      <c r="E17" s="262" t="s">
        <v>13</v>
      </c>
      <c r="F17" s="352">
        <v>2254.0</v>
      </c>
      <c r="G17" s="290">
        <v>2510.0</v>
      </c>
      <c r="H17" s="289">
        <f t="shared" si="7"/>
        <v>98</v>
      </c>
      <c r="I17" s="287">
        <f t="shared" si="3"/>
        <v>0.0390438247</v>
      </c>
      <c r="J17" s="367">
        <v>2608.0</v>
      </c>
      <c r="K17" s="270"/>
    </row>
    <row r="18">
      <c r="A18" s="269"/>
      <c r="B18" s="260" t="s">
        <v>43</v>
      </c>
      <c r="C18" s="261" t="s">
        <v>129</v>
      </c>
      <c r="D18" s="262" t="s">
        <v>130</v>
      </c>
      <c r="E18" s="262" t="s">
        <v>13</v>
      </c>
      <c r="F18" s="347">
        <v>1123.0</v>
      </c>
      <c r="G18" s="267">
        <v>1346.0</v>
      </c>
      <c r="H18" s="265">
        <f t="shared" si="7"/>
        <v>234</v>
      </c>
      <c r="I18" s="287">
        <f t="shared" si="3"/>
        <v>0.1738484398</v>
      </c>
      <c r="J18" s="272">
        <v>1580.0</v>
      </c>
      <c r="K18" s="270"/>
    </row>
    <row r="19">
      <c r="A19" s="269"/>
      <c r="B19" s="260" t="s">
        <v>170</v>
      </c>
      <c r="C19" s="271" t="s">
        <v>165</v>
      </c>
      <c r="D19" s="262" t="s">
        <v>166</v>
      </c>
      <c r="E19" s="262" t="s">
        <v>13</v>
      </c>
      <c r="F19" s="347">
        <v>153.0</v>
      </c>
      <c r="G19" s="267">
        <v>71.0</v>
      </c>
      <c r="H19" s="265">
        <f t="shared" si="7"/>
        <v>98</v>
      </c>
      <c r="I19" s="287">
        <f t="shared" si="3"/>
        <v>1.38028169</v>
      </c>
      <c r="J19" s="272">
        <v>169.0</v>
      </c>
      <c r="K19" s="274"/>
    </row>
    <row r="20">
      <c r="A20" s="275"/>
      <c r="B20" s="260" t="s">
        <v>45</v>
      </c>
      <c r="C20" s="291" t="s">
        <v>23</v>
      </c>
      <c r="D20" s="102" t="s">
        <v>24</v>
      </c>
      <c r="E20" s="102" t="s">
        <v>13</v>
      </c>
      <c r="F20" s="353">
        <v>2.6</v>
      </c>
      <c r="G20" s="296">
        <v>2.65</v>
      </c>
      <c r="H20" s="294">
        <f>J20-G20</f>
        <v>-0.02</v>
      </c>
      <c r="I20" s="295">
        <f t="shared" si="3"/>
        <v>-0.007547169811</v>
      </c>
      <c r="J20" s="292">
        <v>2.63</v>
      </c>
      <c r="K20" s="366" t="s">
        <v>136</v>
      </c>
    </row>
    <row r="21" ht="15.75" customHeight="1">
      <c r="A21" s="278" t="s">
        <v>137</v>
      </c>
      <c r="B21" s="260" t="s">
        <v>48</v>
      </c>
      <c r="C21" s="261" t="s">
        <v>11</v>
      </c>
      <c r="D21" s="262" t="s">
        <v>126</v>
      </c>
      <c r="E21" s="262" t="s">
        <v>13</v>
      </c>
      <c r="F21" s="347">
        <f t="shared" ref="F21:G21" si="8">F22+F23+F24</f>
        <v>1928</v>
      </c>
      <c r="G21" s="267">
        <f t="shared" si="8"/>
        <v>1514</v>
      </c>
      <c r="H21" s="289">
        <f t="shared" ref="H21:H24" si="9">SUM(J21-G21)</f>
        <v>192</v>
      </c>
      <c r="I21" s="287">
        <f t="shared" si="3"/>
        <v>0.1268163804</v>
      </c>
      <c r="J21" s="272">
        <f>J22+J23+J24</f>
        <v>1706</v>
      </c>
      <c r="K21" s="268" t="s">
        <v>203</v>
      </c>
    </row>
    <row r="22" ht="15.75" customHeight="1">
      <c r="A22" s="269"/>
      <c r="B22" s="260" t="s">
        <v>50</v>
      </c>
      <c r="C22" s="261" t="s">
        <v>127</v>
      </c>
      <c r="D22" s="262" t="s">
        <v>128</v>
      </c>
      <c r="E22" s="262" t="s">
        <v>13</v>
      </c>
      <c r="F22" s="347">
        <v>576.0</v>
      </c>
      <c r="G22" s="267">
        <v>403.0</v>
      </c>
      <c r="H22" s="289">
        <f t="shared" si="9"/>
        <v>35</v>
      </c>
      <c r="I22" s="287">
        <f t="shared" si="3"/>
        <v>0.08684863524</v>
      </c>
      <c r="J22" s="272">
        <v>438.0</v>
      </c>
      <c r="K22" s="270"/>
    </row>
    <row r="23" ht="15.75" customHeight="1">
      <c r="A23" s="269"/>
      <c r="B23" s="260" t="s">
        <v>51</v>
      </c>
      <c r="C23" s="261" t="s">
        <v>129</v>
      </c>
      <c r="D23" s="262" t="s">
        <v>130</v>
      </c>
      <c r="E23" s="262" t="s">
        <v>13</v>
      </c>
      <c r="F23" s="347">
        <v>828.0</v>
      </c>
      <c r="G23" s="267">
        <v>667.0</v>
      </c>
      <c r="H23" s="289">
        <f t="shared" si="9"/>
        <v>-38</v>
      </c>
      <c r="I23" s="287">
        <f t="shared" si="3"/>
        <v>-0.05697151424</v>
      </c>
      <c r="J23" s="272">
        <v>629.0</v>
      </c>
      <c r="K23" s="270"/>
    </row>
    <row r="24" ht="15.75" customHeight="1">
      <c r="A24" s="269"/>
      <c r="B24" s="260" t="s">
        <v>171</v>
      </c>
      <c r="C24" s="271" t="s">
        <v>165</v>
      </c>
      <c r="D24" s="262" t="s">
        <v>166</v>
      </c>
      <c r="E24" s="262" t="s">
        <v>13</v>
      </c>
      <c r="F24" s="347">
        <v>524.0</v>
      </c>
      <c r="G24" s="267">
        <v>444.0</v>
      </c>
      <c r="H24" s="289">
        <f t="shared" si="9"/>
        <v>195</v>
      </c>
      <c r="I24" s="287">
        <f t="shared" si="3"/>
        <v>0.4391891892</v>
      </c>
      <c r="J24" s="272">
        <v>639.0</v>
      </c>
      <c r="K24" s="274"/>
    </row>
    <row r="25" ht="15.75" customHeight="1">
      <c r="A25" s="275"/>
      <c r="B25" s="260" t="s">
        <v>172</v>
      </c>
      <c r="C25" s="297" t="s">
        <v>23</v>
      </c>
      <c r="D25" s="121" t="s">
        <v>24</v>
      </c>
      <c r="E25" s="121" t="s">
        <v>13</v>
      </c>
      <c r="F25" s="354">
        <v>3.0</v>
      </c>
      <c r="G25" s="355">
        <v>2.95</v>
      </c>
      <c r="H25" s="300">
        <f>J25-G25</f>
        <v>-0.27</v>
      </c>
      <c r="I25" s="301">
        <f t="shared" si="3"/>
        <v>-0.09152542373</v>
      </c>
      <c r="J25" s="368">
        <v>2.68</v>
      </c>
      <c r="K25" s="369" t="s">
        <v>136</v>
      </c>
    </row>
    <row r="26" ht="15.75" customHeight="1">
      <c r="A26" s="304" t="s">
        <v>138</v>
      </c>
      <c r="B26" s="260" t="s">
        <v>56</v>
      </c>
      <c r="C26" s="305" t="s">
        <v>11</v>
      </c>
      <c r="D26" s="262" t="s">
        <v>126</v>
      </c>
      <c r="E26" s="262" t="s">
        <v>13</v>
      </c>
      <c r="F26" s="347">
        <f t="shared" ref="F26:G26" si="10">F27+F28+F29</f>
        <v>3905</v>
      </c>
      <c r="G26" s="267">
        <f t="shared" si="10"/>
        <v>3157</v>
      </c>
      <c r="H26" s="289">
        <f t="shared" ref="H26:H41" si="11">SUM(J26-G26)</f>
        <v>530</v>
      </c>
      <c r="I26" s="287">
        <f t="shared" si="3"/>
        <v>0.1678808996</v>
      </c>
      <c r="J26" s="272">
        <f>J27+J28+J29</f>
        <v>3687</v>
      </c>
      <c r="K26" s="268" t="s">
        <v>203</v>
      </c>
    </row>
    <row r="27" ht="15.75" customHeight="1">
      <c r="A27" s="269"/>
      <c r="B27" s="260" t="s">
        <v>57</v>
      </c>
      <c r="C27" s="305" t="s">
        <v>127</v>
      </c>
      <c r="D27" s="262" t="s">
        <v>128</v>
      </c>
      <c r="E27" s="262" t="s">
        <v>13</v>
      </c>
      <c r="F27" s="347">
        <v>1993.0</v>
      </c>
      <c r="G27" s="267">
        <v>1445.0</v>
      </c>
      <c r="H27" s="289">
        <f t="shared" si="11"/>
        <v>218</v>
      </c>
      <c r="I27" s="287">
        <f t="shared" si="3"/>
        <v>0.1508650519</v>
      </c>
      <c r="J27" s="272">
        <v>1663.0</v>
      </c>
      <c r="K27" s="270"/>
    </row>
    <row r="28" ht="15.75" customHeight="1">
      <c r="A28" s="269"/>
      <c r="B28" s="260" t="s">
        <v>59</v>
      </c>
      <c r="C28" s="305" t="s">
        <v>129</v>
      </c>
      <c r="D28" s="262" t="s">
        <v>130</v>
      </c>
      <c r="E28" s="262" t="s">
        <v>13</v>
      </c>
      <c r="F28" s="347">
        <v>1848.0</v>
      </c>
      <c r="G28" s="267">
        <v>1678.0</v>
      </c>
      <c r="H28" s="289">
        <f t="shared" si="11"/>
        <v>311</v>
      </c>
      <c r="I28" s="287">
        <f t="shared" si="3"/>
        <v>0.1853396901</v>
      </c>
      <c r="J28" s="272">
        <v>1989.0</v>
      </c>
      <c r="K28" s="270"/>
    </row>
    <row r="29" ht="15.75" customHeight="1">
      <c r="A29" s="275"/>
      <c r="B29" s="260" t="s">
        <v>173</v>
      </c>
      <c r="C29" s="305" t="s">
        <v>165</v>
      </c>
      <c r="D29" s="262" t="s">
        <v>166</v>
      </c>
      <c r="E29" s="262" t="s">
        <v>13</v>
      </c>
      <c r="F29" s="347">
        <v>64.0</v>
      </c>
      <c r="G29" s="267">
        <v>34.0</v>
      </c>
      <c r="H29" s="289">
        <f t="shared" si="11"/>
        <v>1</v>
      </c>
      <c r="I29" s="287">
        <f t="shared" si="3"/>
        <v>0.02941176471</v>
      </c>
      <c r="J29" s="272">
        <v>35.0</v>
      </c>
      <c r="K29" s="274"/>
    </row>
    <row r="30" ht="15.75" customHeight="1">
      <c r="A30" s="278" t="s">
        <v>139</v>
      </c>
      <c r="B30" s="260" t="s">
        <v>62</v>
      </c>
      <c r="C30" s="305" t="s">
        <v>11</v>
      </c>
      <c r="D30" s="262" t="s">
        <v>126</v>
      </c>
      <c r="E30" s="262" t="s">
        <v>13</v>
      </c>
      <c r="F30" s="347">
        <f t="shared" ref="F30:G30" si="12">F31+F32+F33</f>
        <v>14716</v>
      </c>
      <c r="G30" s="267">
        <f t="shared" si="12"/>
        <v>13082</v>
      </c>
      <c r="H30" s="289">
        <f t="shared" si="11"/>
        <v>-761</v>
      </c>
      <c r="I30" s="287">
        <f t="shared" si="3"/>
        <v>-0.0581715334</v>
      </c>
      <c r="J30" s="272">
        <f>J31+J32+J33</f>
        <v>12321</v>
      </c>
      <c r="K30" s="268" t="s">
        <v>202</v>
      </c>
    </row>
    <row r="31" ht="15.75" customHeight="1">
      <c r="A31" s="269"/>
      <c r="B31" s="260" t="s">
        <v>63</v>
      </c>
      <c r="C31" s="305" t="s">
        <v>127</v>
      </c>
      <c r="D31" s="262" t="s">
        <v>128</v>
      </c>
      <c r="E31" s="262" t="s">
        <v>13</v>
      </c>
      <c r="F31" s="347">
        <v>7680.0</v>
      </c>
      <c r="G31" s="267">
        <v>6440.0</v>
      </c>
      <c r="H31" s="289">
        <f t="shared" si="11"/>
        <v>-977</v>
      </c>
      <c r="I31" s="287">
        <f t="shared" si="3"/>
        <v>-0.1517080745</v>
      </c>
      <c r="J31" s="272">
        <v>5463.0</v>
      </c>
      <c r="K31" s="270"/>
    </row>
    <row r="32" ht="15.75" customHeight="1">
      <c r="A32" s="269"/>
      <c r="B32" s="260" t="s">
        <v>65</v>
      </c>
      <c r="C32" s="305" t="s">
        <v>129</v>
      </c>
      <c r="D32" s="262" t="s">
        <v>130</v>
      </c>
      <c r="E32" s="262" t="s">
        <v>13</v>
      </c>
      <c r="F32" s="347">
        <v>5856.0</v>
      </c>
      <c r="G32" s="267">
        <v>6159.0</v>
      </c>
      <c r="H32" s="289">
        <f t="shared" si="11"/>
        <v>62</v>
      </c>
      <c r="I32" s="287">
        <f t="shared" si="3"/>
        <v>0.01006656925</v>
      </c>
      <c r="J32" s="272">
        <v>6221.0</v>
      </c>
      <c r="K32" s="270"/>
    </row>
    <row r="33" ht="15.75" customHeight="1">
      <c r="A33" s="275"/>
      <c r="B33" s="260" t="s">
        <v>174</v>
      </c>
      <c r="C33" s="305" t="s">
        <v>165</v>
      </c>
      <c r="D33" s="262" t="s">
        <v>166</v>
      </c>
      <c r="E33" s="262" t="s">
        <v>13</v>
      </c>
      <c r="F33" s="347">
        <v>1180.0</v>
      </c>
      <c r="G33" s="267">
        <v>483.0</v>
      </c>
      <c r="H33" s="289">
        <f t="shared" si="11"/>
        <v>154</v>
      </c>
      <c r="I33" s="287">
        <f t="shared" si="3"/>
        <v>0.3188405797</v>
      </c>
      <c r="J33" s="272">
        <v>637.0</v>
      </c>
      <c r="K33" s="274"/>
    </row>
    <row r="34" ht="15.75" customHeight="1">
      <c r="A34" s="307" t="s">
        <v>141</v>
      </c>
      <c r="B34" s="190" t="s">
        <v>68</v>
      </c>
      <c r="C34" s="305" t="s">
        <v>11</v>
      </c>
      <c r="D34" s="262" t="s">
        <v>126</v>
      </c>
      <c r="E34" s="262" t="s">
        <v>13</v>
      </c>
      <c r="F34" s="347">
        <f t="shared" ref="F34:G34" si="13">F35+F36+F37</f>
        <v>4656</v>
      </c>
      <c r="G34" s="267">
        <f t="shared" si="13"/>
        <v>2839</v>
      </c>
      <c r="H34" s="289">
        <f t="shared" si="11"/>
        <v>1154</v>
      </c>
      <c r="I34" s="287">
        <f t="shared" si="3"/>
        <v>0.4064811553</v>
      </c>
      <c r="J34" s="272">
        <f>J35+J36+J37</f>
        <v>3993</v>
      </c>
      <c r="K34" s="308"/>
    </row>
    <row r="35" ht="15.75" customHeight="1">
      <c r="A35" s="309"/>
      <c r="B35" s="190" t="s">
        <v>69</v>
      </c>
      <c r="C35" s="305" t="s">
        <v>127</v>
      </c>
      <c r="D35" s="262" t="s">
        <v>128</v>
      </c>
      <c r="E35" s="262" t="s">
        <v>13</v>
      </c>
      <c r="F35" s="347">
        <v>2552.0</v>
      </c>
      <c r="G35" s="267">
        <v>1261.0</v>
      </c>
      <c r="H35" s="289">
        <f t="shared" si="11"/>
        <v>545</v>
      </c>
      <c r="I35" s="287">
        <f t="shared" si="3"/>
        <v>0.4321966693</v>
      </c>
      <c r="J35" s="272">
        <v>1806.0</v>
      </c>
      <c r="K35" s="268" t="s">
        <v>203</v>
      </c>
    </row>
    <row r="36" ht="15.75" customHeight="1">
      <c r="A36" s="309"/>
      <c r="B36" s="209" t="s">
        <v>71</v>
      </c>
      <c r="C36" s="305" t="s">
        <v>129</v>
      </c>
      <c r="D36" s="262" t="s">
        <v>130</v>
      </c>
      <c r="E36" s="262" t="s">
        <v>13</v>
      </c>
      <c r="F36" s="347">
        <v>1916.0</v>
      </c>
      <c r="G36" s="267">
        <v>1417.0</v>
      </c>
      <c r="H36" s="289">
        <f t="shared" si="11"/>
        <v>555</v>
      </c>
      <c r="I36" s="287">
        <f t="shared" si="3"/>
        <v>0.3916725476</v>
      </c>
      <c r="J36" s="272">
        <v>1972.0</v>
      </c>
      <c r="K36" s="270"/>
    </row>
    <row r="37" ht="15.75" customHeight="1">
      <c r="A37" s="312"/>
      <c r="B37" s="313" t="s">
        <v>175</v>
      </c>
      <c r="C37" s="305" t="s">
        <v>165</v>
      </c>
      <c r="D37" s="262" t="s">
        <v>166</v>
      </c>
      <c r="E37" s="262" t="s">
        <v>13</v>
      </c>
      <c r="F37" s="347">
        <v>188.0</v>
      </c>
      <c r="G37" s="267">
        <v>161.0</v>
      </c>
      <c r="H37" s="289">
        <f t="shared" si="11"/>
        <v>54</v>
      </c>
      <c r="I37" s="287">
        <f t="shared" si="3"/>
        <v>0.3354037267</v>
      </c>
      <c r="J37" s="272">
        <v>215.0</v>
      </c>
      <c r="K37" s="274"/>
    </row>
    <row r="38" ht="15.75" customHeight="1">
      <c r="A38" s="315" t="s">
        <v>143</v>
      </c>
      <c r="B38" s="260" t="s">
        <v>73</v>
      </c>
      <c r="C38" s="305" t="s">
        <v>11</v>
      </c>
      <c r="D38" s="262" t="s">
        <v>74</v>
      </c>
      <c r="E38" s="262" t="s">
        <v>13</v>
      </c>
      <c r="F38" s="347">
        <f t="shared" ref="F38:G38" si="14">F39+F40</f>
        <v>10939</v>
      </c>
      <c r="G38" s="267">
        <f t="shared" si="14"/>
        <v>9467</v>
      </c>
      <c r="H38" s="289">
        <f t="shared" si="11"/>
        <v>2674</v>
      </c>
      <c r="I38" s="287">
        <f t="shared" si="3"/>
        <v>0.2824548431</v>
      </c>
      <c r="J38" s="272">
        <v>12141.0</v>
      </c>
      <c r="K38" s="370" t="s">
        <v>204</v>
      </c>
    </row>
    <row r="39" ht="15.75" customHeight="1">
      <c r="A39" s="316"/>
      <c r="B39" s="260" t="s">
        <v>75</v>
      </c>
      <c r="C39" s="305" t="s">
        <v>176</v>
      </c>
      <c r="D39" s="262" t="s">
        <v>74</v>
      </c>
      <c r="E39" s="262" t="s">
        <v>13</v>
      </c>
      <c r="F39" s="347">
        <v>8189.0</v>
      </c>
      <c r="G39" s="267">
        <v>7193.0</v>
      </c>
      <c r="H39" s="289">
        <f t="shared" si="11"/>
        <v>2338</v>
      </c>
      <c r="I39" s="287">
        <f t="shared" si="3"/>
        <v>0.3250382316</v>
      </c>
      <c r="J39" s="272">
        <f>J38-J40</f>
        <v>9531</v>
      </c>
      <c r="K39" s="311"/>
    </row>
    <row r="40" ht="15.75" customHeight="1">
      <c r="A40" s="316"/>
      <c r="B40" s="260" t="s">
        <v>147</v>
      </c>
      <c r="C40" s="305" t="s">
        <v>177</v>
      </c>
      <c r="D40" s="262" t="s">
        <v>74</v>
      </c>
      <c r="E40" s="262" t="s">
        <v>13</v>
      </c>
      <c r="F40" s="347">
        <v>2750.0</v>
      </c>
      <c r="G40" s="267">
        <v>2274.0</v>
      </c>
      <c r="H40" s="289">
        <f t="shared" si="11"/>
        <v>336</v>
      </c>
      <c r="I40" s="287">
        <f t="shared" si="3"/>
        <v>0.1477572559</v>
      </c>
      <c r="J40" s="272">
        <v>2610.0</v>
      </c>
      <c r="K40" s="311"/>
    </row>
    <row r="41" ht="15.75" customHeight="1">
      <c r="A41" s="316"/>
      <c r="B41" s="260" t="s">
        <v>178</v>
      </c>
      <c r="C41" s="305" t="s">
        <v>145</v>
      </c>
      <c r="D41" s="262" t="s">
        <v>77</v>
      </c>
      <c r="E41" s="262" t="s">
        <v>13</v>
      </c>
      <c r="F41" s="347">
        <v>1830.0</v>
      </c>
      <c r="G41" s="267">
        <v>1432.0</v>
      </c>
      <c r="H41" s="289">
        <f t="shared" si="11"/>
        <v>202</v>
      </c>
      <c r="I41" s="287">
        <f t="shared" si="3"/>
        <v>0.1410614525</v>
      </c>
      <c r="J41" s="272">
        <v>1634.0</v>
      </c>
      <c r="K41" s="311"/>
    </row>
    <row r="42" ht="15.75" customHeight="1">
      <c r="A42" s="318"/>
      <c r="B42" s="260" t="s">
        <v>179</v>
      </c>
      <c r="C42" s="305" t="s">
        <v>148</v>
      </c>
      <c r="D42" s="262" t="s">
        <v>149</v>
      </c>
      <c r="E42" s="262" t="s">
        <v>13</v>
      </c>
      <c r="F42" s="356">
        <v>0.1283</v>
      </c>
      <c r="G42" s="322">
        <v>0.105</v>
      </c>
      <c r="H42" s="287">
        <f t="shared" ref="H42:H46" si="16">J42-G42</f>
        <v>-0.0166</v>
      </c>
      <c r="I42" s="287">
        <f>J42-G42</f>
        <v>-0.0166</v>
      </c>
      <c r="J42" s="319">
        <v>0.0884</v>
      </c>
      <c r="K42" s="371"/>
    </row>
    <row r="43" ht="15.75" customHeight="1">
      <c r="A43" s="315" t="s">
        <v>152</v>
      </c>
      <c r="B43" s="260" t="s">
        <v>180</v>
      </c>
      <c r="C43" s="305" t="s">
        <v>11</v>
      </c>
      <c r="D43" s="262" t="s">
        <v>74</v>
      </c>
      <c r="E43" s="262" t="s">
        <v>13</v>
      </c>
      <c r="F43" s="347">
        <f t="shared" ref="F43:G43" si="15">F44+F45</f>
        <v>31426</v>
      </c>
      <c r="G43" s="267">
        <f t="shared" si="15"/>
        <v>23184</v>
      </c>
      <c r="H43" s="289">
        <f t="shared" si="16"/>
        <v>4626</v>
      </c>
      <c r="I43" s="287">
        <f t="shared" ref="I43:I46" si="17">H43/G43</f>
        <v>0.1995341615</v>
      </c>
      <c r="J43" s="272">
        <v>27810.0</v>
      </c>
      <c r="K43" s="370" t="s">
        <v>204</v>
      </c>
    </row>
    <row r="44" ht="15.75" customHeight="1">
      <c r="A44" s="316"/>
      <c r="B44" s="260" t="s">
        <v>181</v>
      </c>
      <c r="C44" s="305" t="s">
        <v>176</v>
      </c>
      <c r="D44" s="262" t="s">
        <v>74</v>
      </c>
      <c r="E44" s="262" t="s">
        <v>13</v>
      </c>
      <c r="F44" s="347">
        <v>15660.0</v>
      </c>
      <c r="G44" s="267">
        <v>11592.0</v>
      </c>
      <c r="H44" s="289">
        <f t="shared" si="16"/>
        <v>3284</v>
      </c>
      <c r="I44" s="287">
        <f t="shared" si="17"/>
        <v>0.2832988268</v>
      </c>
      <c r="J44" s="272">
        <f>J43-J45</f>
        <v>14876</v>
      </c>
      <c r="K44" s="311"/>
    </row>
    <row r="45" ht="15.75" customHeight="1">
      <c r="A45" s="316"/>
      <c r="B45" s="260" t="s">
        <v>182</v>
      </c>
      <c r="C45" s="305" t="s">
        <v>177</v>
      </c>
      <c r="D45" s="262" t="s">
        <v>74</v>
      </c>
      <c r="E45" s="262" t="s">
        <v>13</v>
      </c>
      <c r="F45" s="347">
        <v>15766.0</v>
      </c>
      <c r="G45" s="267">
        <v>11592.0</v>
      </c>
      <c r="H45" s="289">
        <f t="shared" si="16"/>
        <v>1342</v>
      </c>
      <c r="I45" s="287">
        <f t="shared" si="17"/>
        <v>0.1157694962</v>
      </c>
      <c r="J45" s="272">
        <v>12934.0</v>
      </c>
      <c r="K45" s="311"/>
    </row>
    <row r="46" ht="15.75" customHeight="1">
      <c r="A46" s="316"/>
      <c r="B46" s="260" t="s">
        <v>183</v>
      </c>
      <c r="C46" s="305" t="s">
        <v>145</v>
      </c>
      <c r="D46" s="262" t="s">
        <v>77</v>
      </c>
      <c r="E46" s="262" t="s">
        <v>13</v>
      </c>
      <c r="F46" s="347">
        <v>1594.0</v>
      </c>
      <c r="G46" s="267">
        <v>1605.0</v>
      </c>
      <c r="H46" s="289">
        <f t="shared" si="16"/>
        <v>222</v>
      </c>
      <c r="I46" s="287">
        <f t="shared" si="17"/>
        <v>0.138317757</v>
      </c>
      <c r="J46" s="272">
        <v>1827.0</v>
      </c>
      <c r="K46" s="311"/>
    </row>
    <row r="47" ht="15.75" customHeight="1">
      <c r="A47" s="318"/>
      <c r="B47" s="260" t="s">
        <v>184</v>
      </c>
      <c r="C47" s="305" t="s">
        <v>148</v>
      </c>
      <c r="D47" s="262" t="s">
        <v>149</v>
      </c>
      <c r="E47" s="262" t="s">
        <v>13</v>
      </c>
      <c r="F47" s="356">
        <v>0.2873</v>
      </c>
      <c r="G47" s="322" t="s">
        <v>196</v>
      </c>
      <c r="H47" s="321" t="s">
        <v>205</v>
      </c>
      <c r="I47" s="321" t="s">
        <v>205</v>
      </c>
      <c r="J47" s="319">
        <v>0.326</v>
      </c>
      <c r="K47" s="371"/>
    </row>
    <row r="48" ht="15.75" customHeight="1">
      <c r="A48" s="324" t="s">
        <v>78</v>
      </c>
      <c r="B48" s="260" t="s">
        <v>79</v>
      </c>
      <c r="C48" s="305" t="s">
        <v>80</v>
      </c>
      <c r="D48" s="262" t="s">
        <v>81</v>
      </c>
      <c r="E48" s="262" t="s">
        <v>13</v>
      </c>
      <c r="F48" s="357">
        <f>45889.79+182000</f>
        <v>227889.79</v>
      </c>
      <c r="G48" s="328">
        <v>254768.0</v>
      </c>
      <c r="H48" s="327">
        <f t="shared" ref="H48:H50" si="18">SUM(J48-G48)</f>
        <v>-5968.88</v>
      </c>
      <c r="I48" s="287">
        <f t="shared" ref="I48:I50" si="19">H48/G48</f>
        <v>-0.02342868806</v>
      </c>
      <c r="J48" s="372">
        <v>248799.12</v>
      </c>
      <c r="K48" s="308" t="s">
        <v>49</v>
      </c>
    </row>
    <row r="49" ht="15.75" customHeight="1">
      <c r="A49" s="329"/>
      <c r="B49" s="260" t="s">
        <v>83</v>
      </c>
      <c r="C49" s="330" t="s">
        <v>84</v>
      </c>
      <c r="D49" s="262" t="s">
        <v>85</v>
      </c>
      <c r="E49" s="262" t="s">
        <v>13</v>
      </c>
      <c r="F49" s="358">
        <v>70000.0</v>
      </c>
      <c r="G49" s="331">
        <v>76000.0</v>
      </c>
      <c r="H49" s="327">
        <f t="shared" si="18"/>
        <v>-54428.08</v>
      </c>
      <c r="I49" s="287">
        <f t="shared" si="19"/>
        <v>-0.7161589474</v>
      </c>
      <c r="J49" s="325">
        <v>21571.92</v>
      </c>
      <c r="K49" s="308" t="s">
        <v>49</v>
      </c>
    </row>
    <row r="50" ht="15.75" customHeight="1">
      <c r="A50" s="332"/>
      <c r="B50" s="260" t="s">
        <v>86</v>
      </c>
      <c r="C50" s="330" t="s">
        <v>87</v>
      </c>
      <c r="D50" s="262" t="s">
        <v>88</v>
      </c>
      <c r="E50" s="262" t="s">
        <v>13</v>
      </c>
      <c r="F50" s="357">
        <v>5000.0</v>
      </c>
      <c r="G50" s="328">
        <v>1952.0</v>
      </c>
      <c r="H50" s="327">
        <f t="shared" si="18"/>
        <v>-1952</v>
      </c>
      <c r="I50" s="287">
        <f t="shared" si="19"/>
        <v>-1</v>
      </c>
      <c r="J50" s="372">
        <v>0.0</v>
      </c>
      <c r="K50" s="308" t="s">
        <v>49</v>
      </c>
    </row>
    <row r="51" ht="15.75" customHeight="1">
      <c r="A51" s="333" t="s">
        <v>89</v>
      </c>
      <c r="B51" s="245" t="s">
        <v>90</v>
      </c>
      <c r="C51" s="185" t="s">
        <v>91</v>
      </c>
      <c r="D51" s="45" t="s">
        <v>92</v>
      </c>
      <c r="E51" s="102" t="s">
        <v>13</v>
      </c>
      <c r="F51" s="359" t="s">
        <v>155</v>
      </c>
      <c r="G51" s="338" t="s">
        <v>155</v>
      </c>
      <c r="H51" s="336" t="s">
        <v>94</v>
      </c>
      <c r="I51" s="336"/>
      <c r="J51" s="334" t="s">
        <v>155</v>
      </c>
      <c r="K51" s="126" t="s">
        <v>95</v>
      </c>
    </row>
    <row r="52" ht="15.75" customHeight="1">
      <c r="A52" s="339"/>
      <c r="B52" s="231" t="s">
        <v>96</v>
      </c>
      <c r="C52" s="232" t="s">
        <v>97</v>
      </c>
      <c r="D52" s="102" t="s">
        <v>98</v>
      </c>
      <c r="E52" s="102"/>
      <c r="F52" s="340"/>
      <c r="G52" s="340"/>
      <c r="H52" s="340"/>
      <c r="I52" s="340"/>
      <c r="J52" s="340"/>
      <c r="K52" s="131" t="s">
        <v>206</v>
      </c>
    </row>
    <row r="53" ht="15.75" customHeight="1">
      <c r="A53" s="341"/>
      <c r="B53" s="233" t="s">
        <v>100</v>
      </c>
      <c r="C53" s="200" t="s">
        <v>101</v>
      </c>
      <c r="D53" s="80" t="s">
        <v>102</v>
      </c>
      <c r="E53" s="53"/>
      <c r="F53" s="342"/>
      <c r="G53" s="342"/>
      <c r="H53" s="342"/>
      <c r="I53" s="342"/>
      <c r="J53" s="342"/>
      <c r="K53" s="138" t="s">
        <v>104</v>
      </c>
    </row>
    <row r="54" ht="15.75" customHeight="1">
      <c r="A54" s="344" t="s">
        <v>105</v>
      </c>
      <c r="B54" s="227" t="s">
        <v>106</v>
      </c>
      <c r="C54" s="214" t="s">
        <v>107</v>
      </c>
      <c r="D54" s="36" t="s">
        <v>157</v>
      </c>
      <c r="E54" s="121" t="s">
        <v>13</v>
      </c>
      <c r="F54" s="360">
        <f>1776081.9/6943585.56</f>
        <v>0.2557874292</v>
      </c>
      <c r="G54" s="239">
        <f>1372748/5609668</f>
        <v>0.2447110952</v>
      </c>
      <c r="H54" s="142">
        <f>-(-J54+G54)/G54</f>
        <v>0.01756077237</v>
      </c>
      <c r="I54" s="69">
        <f t="shared" ref="I54:I56" si="20">J54-G54</f>
        <v>0.004297315838</v>
      </c>
      <c r="J54" s="237">
        <f>1834857.84/7368658.08</f>
        <v>0.249008411</v>
      </c>
      <c r="K54" s="144" t="s">
        <v>186</v>
      </c>
    </row>
    <row r="55" ht="15.75" customHeight="1">
      <c r="A55" s="339"/>
      <c r="B55" s="240" t="s">
        <v>110</v>
      </c>
      <c r="C55" s="241" t="s">
        <v>111</v>
      </c>
      <c r="D55" s="44" t="s">
        <v>112</v>
      </c>
      <c r="E55" s="102"/>
      <c r="F55" s="361">
        <f>2122439/6943585</f>
        <v>0.3056690456</v>
      </c>
      <c r="G55" s="244">
        <f>1712131/5609668</f>
        <v>0.305210754</v>
      </c>
      <c r="H55" s="142">
        <f>-(-G55+F55)/F55</f>
        <v>-0.001499306529</v>
      </c>
      <c r="I55" s="69">
        <f t="shared" si="20"/>
        <v>-0.02946678842</v>
      </c>
      <c r="J55" s="242">
        <f>2031863/7368658.08</f>
        <v>0.2757439656</v>
      </c>
      <c r="K55" s="144" t="s">
        <v>186</v>
      </c>
    </row>
    <row r="56" ht="15.75" customHeight="1">
      <c r="A56" s="339"/>
      <c r="B56" s="245" t="s">
        <v>113</v>
      </c>
      <c r="C56" s="185" t="s">
        <v>114</v>
      </c>
      <c r="D56" s="45" t="s">
        <v>207</v>
      </c>
      <c r="E56" s="102"/>
      <c r="F56" s="362">
        <f>61244.5/79560</f>
        <v>0.7697900955</v>
      </c>
      <c r="G56" s="249">
        <v>0.7416</v>
      </c>
      <c r="H56" s="248">
        <f>-(-J56+G56)/G56</f>
        <v>0.1828478964</v>
      </c>
      <c r="I56" s="69">
        <f t="shared" si="20"/>
        <v>0.1356</v>
      </c>
      <c r="J56" s="246">
        <v>0.8772</v>
      </c>
      <c r="K56" s="144"/>
    </row>
    <row r="57" ht="15.75" customHeight="1">
      <c r="A57" s="22"/>
      <c r="B57" s="250" t="s">
        <v>116</v>
      </c>
      <c r="C57" s="251" t="s">
        <v>117</v>
      </c>
      <c r="D57" s="155" t="s">
        <v>118</v>
      </c>
      <c r="E57" s="155"/>
      <c r="F57" s="363">
        <v>532.0</v>
      </c>
      <c r="G57" s="255">
        <v>328.0</v>
      </c>
      <c r="H57" s="158">
        <f>J57-G57</f>
        <v>496</v>
      </c>
      <c r="I57" s="254">
        <f>H57/G57</f>
        <v>1.512195122</v>
      </c>
      <c r="J57" s="252">
        <v>824.0</v>
      </c>
      <c r="K57" s="256" t="s">
        <v>208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G3:G4"/>
    <mergeCell ref="H3:H4"/>
    <mergeCell ref="A1:B2"/>
    <mergeCell ref="C1:G2"/>
    <mergeCell ref="H1:K2"/>
    <mergeCell ref="A3:A4"/>
    <mergeCell ref="B3:B4"/>
    <mergeCell ref="C3:C4"/>
    <mergeCell ref="D3:D4"/>
    <mergeCell ref="K3:K4"/>
    <mergeCell ref="E3:E4"/>
    <mergeCell ref="F3:F4"/>
    <mergeCell ref="A6:A10"/>
    <mergeCell ref="A11:A15"/>
    <mergeCell ref="A16:A20"/>
    <mergeCell ref="A21:A25"/>
    <mergeCell ref="A26:A29"/>
    <mergeCell ref="K30:K33"/>
    <mergeCell ref="K35:K37"/>
    <mergeCell ref="K38:K42"/>
    <mergeCell ref="K43:K47"/>
    <mergeCell ref="I3:I4"/>
    <mergeCell ref="J3:J4"/>
    <mergeCell ref="K6:K9"/>
    <mergeCell ref="K11:K14"/>
    <mergeCell ref="K16:K19"/>
    <mergeCell ref="K21:K24"/>
    <mergeCell ref="K26:K29"/>
    <mergeCell ref="H51:H53"/>
    <mergeCell ref="I51:I53"/>
    <mergeCell ref="J51:J53"/>
    <mergeCell ref="A30:A33"/>
    <mergeCell ref="A34:A37"/>
    <mergeCell ref="A38:A42"/>
    <mergeCell ref="A43:A47"/>
    <mergeCell ref="A51:A53"/>
    <mergeCell ref="F51:F53"/>
    <mergeCell ref="G51:G53"/>
    <mergeCell ref="A54:A57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2" width="5.57"/>
    <col customWidth="1" min="3" max="3" width="18.14"/>
    <col customWidth="1" min="4" max="4" width="15.57"/>
    <col customWidth="1" min="5" max="5" width="6.71"/>
    <col customWidth="1" min="6" max="7" width="11.29"/>
    <col customWidth="1" min="8" max="8" width="12.14"/>
    <col customWidth="1" min="9" max="9" width="10.29"/>
    <col customWidth="1" min="10" max="10" width="11.29"/>
    <col customWidth="1" min="11" max="11" width="20.71"/>
  </cols>
  <sheetData>
    <row r="1" ht="12.75" customHeight="1">
      <c r="A1" s="165"/>
      <c r="B1" s="4"/>
      <c r="C1" s="166" t="s">
        <v>209</v>
      </c>
      <c r="D1" s="4"/>
      <c r="E1" s="4"/>
      <c r="F1" s="4"/>
      <c r="G1" s="2"/>
      <c r="H1" s="167" t="s">
        <v>162</v>
      </c>
      <c r="I1" s="4"/>
      <c r="J1" s="4"/>
      <c r="K1" s="6"/>
    </row>
    <row r="2" ht="63.0" customHeight="1">
      <c r="A2" s="8"/>
      <c r="B2" s="11"/>
      <c r="C2" s="8"/>
      <c r="D2" s="11"/>
      <c r="E2" s="11"/>
      <c r="F2" s="11"/>
      <c r="G2" s="9"/>
      <c r="H2" s="10"/>
      <c r="I2" s="11"/>
      <c r="J2" s="11"/>
      <c r="K2" s="12"/>
    </row>
    <row r="3" ht="12.75" customHeight="1">
      <c r="A3" s="13" t="s">
        <v>2</v>
      </c>
      <c r="B3" s="168" t="s">
        <v>3</v>
      </c>
      <c r="C3" s="13" t="s">
        <v>4</v>
      </c>
      <c r="D3" s="16" t="s">
        <v>5</v>
      </c>
      <c r="E3" s="169" t="s">
        <v>6</v>
      </c>
      <c r="F3" s="172">
        <v>2020.0</v>
      </c>
      <c r="G3" s="170">
        <v>2021.0</v>
      </c>
      <c r="H3" s="16" t="s">
        <v>210</v>
      </c>
      <c r="I3" s="16" t="s">
        <v>123</v>
      </c>
      <c r="J3" s="373">
        <v>2022.0</v>
      </c>
      <c r="K3" s="173" t="s">
        <v>211</v>
      </c>
    </row>
    <row r="4" ht="12.75" customHeight="1">
      <c r="A4" s="22"/>
      <c r="B4" s="174"/>
      <c r="C4" s="22"/>
      <c r="D4" s="23"/>
      <c r="E4" s="174"/>
      <c r="F4" s="24"/>
      <c r="G4" s="24"/>
      <c r="H4" s="23"/>
      <c r="I4" s="23"/>
      <c r="J4" s="24"/>
      <c r="K4" s="25"/>
    </row>
    <row r="5" ht="12.75" customHeight="1">
      <c r="A5" s="175"/>
      <c r="B5" s="258"/>
      <c r="C5" s="177"/>
      <c r="D5" s="178"/>
      <c r="E5" s="179"/>
      <c r="F5" s="182"/>
      <c r="G5" s="180"/>
      <c r="H5" s="179"/>
      <c r="I5" s="179"/>
      <c r="J5" s="374"/>
      <c r="K5" s="183"/>
    </row>
    <row r="6" ht="89.25" customHeight="1">
      <c r="A6" s="259" t="s">
        <v>125</v>
      </c>
      <c r="B6" s="260" t="s">
        <v>10</v>
      </c>
      <c r="C6" s="261" t="s">
        <v>11</v>
      </c>
      <c r="D6" s="262" t="s">
        <v>126</v>
      </c>
      <c r="E6" s="262" t="s">
        <v>13</v>
      </c>
      <c r="F6" s="267">
        <f t="shared" ref="F6:G6" si="1">F7+F8+F9</f>
        <v>13482</v>
      </c>
      <c r="G6" s="272">
        <f t="shared" si="1"/>
        <v>10995</v>
      </c>
      <c r="H6" s="265">
        <f t="shared" ref="H6:H9" si="2">SUM(J6-G6)</f>
        <v>-1015.8</v>
      </c>
      <c r="I6" s="266">
        <f t="shared" ref="I6:I41" si="3">H6/G6</f>
        <v>-0.09238744884</v>
      </c>
      <c r="J6" s="375">
        <f>J7+J8+J9</f>
        <v>9979.2</v>
      </c>
      <c r="K6" s="268" t="s">
        <v>212</v>
      </c>
    </row>
    <row r="7" ht="89.25" customHeight="1">
      <c r="A7" s="269"/>
      <c r="B7" s="260" t="s">
        <v>15</v>
      </c>
      <c r="C7" s="261" t="s">
        <v>127</v>
      </c>
      <c r="D7" s="262" t="s">
        <v>128</v>
      </c>
      <c r="E7" s="262" t="s">
        <v>13</v>
      </c>
      <c r="F7" s="267">
        <v>6459.0</v>
      </c>
      <c r="G7" s="272">
        <v>3738.0</v>
      </c>
      <c r="H7" s="265">
        <f t="shared" si="2"/>
        <v>902.4</v>
      </c>
      <c r="I7" s="266">
        <f t="shared" si="3"/>
        <v>0.2414125201</v>
      </c>
      <c r="J7" s="375">
        <f>(3867/10)*12</f>
        <v>4640.4</v>
      </c>
      <c r="K7" s="270"/>
    </row>
    <row r="8" ht="89.25" customHeight="1">
      <c r="A8" s="269"/>
      <c r="B8" s="260" t="s">
        <v>19</v>
      </c>
      <c r="C8" s="261" t="s">
        <v>129</v>
      </c>
      <c r="D8" s="262" t="s">
        <v>130</v>
      </c>
      <c r="E8" s="262" t="s">
        <v>13</v>
      </c>
      <c r="F8" s="267">
        <v>5422.0</v>
      </c>
      <c r="G8" s="272">
        <v>4511.0</v>
      </c>
      <c r="H8" s="265">
        <f t="shared" si="2"/>
        <v>-255.8</v>
      </c>
      <c r="I8" s="266">
        <f t="shared" si="3"/>
        <v>-0.05670583019</v>
      </c>
      <c r="J8" s="375">
        <f>(3546/10)*12</f>
        <v>4255.2</v>
      </c>
      <c r="K8" s="270"/>
    </row>
    <row r="9" ht="47.25" customHeight="1">
      <c r="A9" s="269"/>
      <c r="B9" s="260" t="s">
        <v>164</v>
      </c>
      <c r="C9" s="271" t="s">
        <v>165</v>
      </c>
      <c r="D9" s="262" t="s">
        <v>166</v>
      </c>
      <c r="E9" s="262" t="s">
        <v>13</v>
      </c>
      <c r="F9" s="267">
        <v>1601.0</v>
      </c>
      <c r="G9" s="272">
        <v>2746.0</v>
      </c>
      <c r="H9" s="265">
        <f t="shared" si="2"/>
        <v>-1662.4</v>
      </c>
      <c r="I9" s="266">
        <f t="shared" si="3"/>
        <v>-0.6053896577</v>
      </c>
      <c r="J9" s="375">
        <f>(903/10)*12</f>
        <v>1083.6</v>
      </c>
      <c r="K9" s="274"/>
    </row>
    <row r="10" ht="173.25" customHeight="1">
      <c r="A10" s="275"/>
      <c r="B10" s="260" t="s">
        <v>167</v>
      </c>
      <c r="C10" s="376" t="s">
        <v>23</v>
      </c>
      <c r="D10" s="53" t="s">
        <v>24</v>
      </c>
      <c r="E10" s="53" t="s">
        <v>13</v>
      </c>
      <c r="F10" s="349">
        <v>2.58</v>
      </c>
      <c r="G10" s="364">
        <v>2.63</v>
      </c>
      <c r="H10" s="286">
        <f>J10-G10</f>
        <v>-0.03</v>
      </c>
      <c r="I10" s="69">
        <f t="shared" si="3"/>
        <v>-0.01140684411</v>
      </c>
      <c r="J10" s="377">
        <v>2.6</v>
      </c>
      <c r="K10" s="365" t="s">
        <v>131</v>
      </c>
    </row>
    <row r="11" ht="89.25" customHeight="1">
      <c r="A11" s="278" t="s">
        <v>132</v>
      </c>
      <c r="B11" s="260" t="s">
        <v>27</v>
      </c>
      <c r="C11" s="279" t="s">
        <v>11</v>
      </c>
      <c r="D11" s="262" t="s">
        <v>126</v>
      </c>
      <c r="E11" s="53" t="s">
        <v>13</v>
      </c>
      <c r="F11" s="267">
        <f t="shared" ref="F11:G11" si="4">F12+F13+F14</f>
        <v>14879</v>
      </c>
      <c r="G11" s="272">
        <f t="shared" si="4"/>
        <v>16088</v>
      </c>
      <c r="H11" s="282">
        <f t="shared" ref="H11:H14" si="5">SUM(J11-G11)</f>
        <v>1825.6</v>
      </c>
      <c r="I11" s="283">
        <f t="shared" si="3"/>
        <v>0.1134758826</v>
      </c>
      <c r="J11" s="375">
        <f>J12+J13+J14</f>
        <v>17913.6</v>
      </c>
      <c r="K11" s="268" t="s">
        <v>213</v>
      </c>
    </row>
    <row r="12" ht="89.25" customHeight="1">
      <c r="A12" s="269"/>
      <c r="B12" s="260" t="s">
        <v>29</v>
      </c>
      <c r="C12" s="261" t="s">
        <v>127</v>
      </c>
      <c r="D12" s="262" t="s">
        <v>128</v>
      </c>
      <c r="E12" s="262" t="s">
        <v>13</v>
      </c>
      <c r="F12" s="267">
        <v>8948.0</v>
      </c>
      <c r="G12" s="272">
        <v>8585.0</v>
      </c>
      <c r="H12" s="265">
        <f t="shared" si="5"/>
        <v>1953.4</v>
      </c>
      <c r="I12" s="283">
        <f t="shared" si="3"/>
        <v>0.2275364007</v>
      </c>
      <c r="J12" s="375">
        <f>(8782/10)*12</f>
        <v>10538.4</v>
      </c>
      <c r="K12" s="270"/>
    </row>
    <row r="13" ht="89.25" customHeight="1">
      <c r="A13" s="269"/>
      <c r="B13" s="260" t="s">
        <v>32</v>
      </c>
      <c r="C13" s="261" t="s">
        <v>129</v>
      </c>
      <c r="D13" s="262" t="s">
        <v>130</v>
      </c>
      <c r="E13" s="262" t="s">
        <v>13</v>
      </c>
      <c r="F13" s="267">
        <v>5175.0</v>
      </c>
      <c r="G13" s="272">
        <v>5727.0</v>
      </c>
      <c r="H13" s="265">
        <f t="shared" si="5"/>
        <v>744.6</v>
      </c>
      <c r="I13" s="283">
        <f t="shared" si="3"/>
        <v>0.130015715</v>
      </c>
      <c r="J13" s="375">
        <f>(5393/10)*12</f>
        <v>6471.6</v>
      </c>
      <c r="K13" s="270"/>
    </row>
    <row r="14" ht="47.25" customHeight="1">
      <c r="A14" s="269"/>
      <c r="B14" s="260" t="s">
        <v>168</v>
      </c>
      <c r="C14" s="271" t="s">
        <v>165</v>
      </c>
      <c r="D14" s="262" t="s">
        <v>166</v>
      </c>
      <c r="E14" s="262" t="s">
        <v>13</v>
      </c>
      <c r="F14" s="267">
        <v>756.0</v>
      </c>
      <c r="G14" s="272">
        <v>1776.0</v>
      </c>
      <c r="H14" s="265">
        <f t="shared" si="5"/>
        <v>-872.4</v>
      </c>
      <c r="I14" s="283">
        <f t="shared" si="3"/>
        <v>-0.4912162162</v>
      </c>
      <c r="J14" s="375">
        <f>(753/10)*12</f>
        <v>903.6</v>
      </c>
      <c r="K14" s="274"/>
    </row>
    <row r="15" ht="173.25" customHeight="1">
      <c r="A15" s="275"/>
      <c r="B15" s="260" t="s">
        <v>35</v>
      </c>
      <c r="C15" s="376" t="s">
        <v>23</v>
      </c>
      <c r="D15" s="53" t="s">
        <v>24</v>
      </c>
      <c r="E15" s="53" t="s">
        <v>13</v>
      </c>
      <c r="F15" s="288">
        <v>2.61</v>
      </c>
      <c r="G15" s="364">
        <v>2.7</v>
      </c>
      <c r="H15" s="286">
        <f>J15-G15</f>
        <v>0.2</v>
      </c>
      <c r="I15" s="287">
        <f t="shared" si="3"/>
        <v>0.07407407407</v>
      </c>
      <c r="J15" s="377">
        <v>2.9</v>
      </c>
      <c r="K15" s="366" t="s">
        <v>134</v>
      </c>
    </row>
    <row r="16" ht="89.25" customHeight="1">
      <c r="A16" s="278" t="s">
        <v>135</v>
      </c>
      <c r="B16" s="260" t="s">
        <v>38</v>
      </c>
      <c r="C16" s="279" t="s">
        <v>11</v>
      </c>
      <c r="D16" s="262" t="s">
        <v>126</v>
      </c>
      <c r="E16" s="262" t="s">
        <v>13</v>
      </c>
      <c r="F16" s="290">
        <f t="shared" ref="F16:G16" si="6">F17+F18+F19</f>
        <v>3927</v>
      </c>
      <c r="G16" s="367">
        <f t="shared" si="6"/>
        <v>4357</v>
      </c>
      <c r="H16" s="289">
        <f t="shared" ref="H16:H19" si="7">SUM(J16-G16)</f>
        <v>-191.8</v>
      </c>
      <c r="I16" s="287">
        <f t="shared" si="3"/>
        <v>-0.04402111545</v>
      </c>
      <c r="J16" s="378">
        <f>J17+J18+J19</f>
        <v>4165.2</v>
      </c>
      <c r="K16" s="268" t="s">
        <v>213</v>
      </c>
    </row>
    <row r="17" ht="89.25" customHeight="1">
      <c r="A17" s="269"/>
      <c r="B17" s="260" t="s">
        <v>40</v>
      </c>
      <c r="C17" s="261" t="s">
        <v>127</v>
      </c>
      <c r="D17" s="262" t="s">
        <v>128</v>
      </c>
      <c r="E17" s="262" t="s">
        <v>13</v>
      </c>
      <c r="F17" s="290">
        <v>2510.0</v>
      </c>
      <c r="G17" s="367">
        <v>2608.0</v>
      </c>
      <c r="H17" s="289">
        <f t="shared" si="7"/>
        <v>-94</v>
      </c>
      <c r="I17" s="287">
        <f t="shared" si="3"/>
        <v>-0.03604294479</v>
      </c>
      <c r="J17" s="378">
        <f>(2095/10)*12</f>
        <v>2514</v>
      </c>
      <c r="K17" s="270"/>
    </row>
    <row r="18" ht="89.25" customHeight="1">
      <c r="A18" s="269"/>
      <c r="B18" s="260" t="s">
        <v>43</v>
      </c>
      <c r="C18" s="261" t="s">
        <v>129</v>
      </c>
      <c r="D18" s="262" t="s">
        <v>130</v>
      </c>
      <c r="E18" s="262" t="s">
        <v>13</v>
      </c>
      <c r="F18" s="267">
        <v>1346.0</v>
      </c>
      <c r="G18" s="272">
        <v>1580.0</v>
      </c>
      <c r="H18" s="265">
        <f t="shared" si="7"/>
        <v>18.4</v>
      </c>
      <c r="I18" s="287">
        <f t="shared" si="3"/>
        <v>0.01164556962</v>
      </c>
      <c r="J18" s="375">
        <f>(1332/10)*12</f>
        <v>1598.4</v>
      </c>
      <c r="K18" s="270"/>
    </row>
    <row r="19" ht="47.25" customHeight="1">
      <c r="A19" s="269"/>
      <c r="B19" s="260" t="s">
        <v>170</v>
      </c>
      <c r="C19" s="271" t="s">
        <v>165</v>
      </c>
      <c r="D19" s="262" t="s">
        <v>166</v>
      </c>
      <c r="E19" s="262" t="s">
        <v>13</v>
      </c>
      <c r="F19" s="267">
        <v>71.0</v>
      </c>
      <c r="G19" s="272">
        <v>169.0</v>
      </c>
      <c r="H19" s="265">
        <f t="shared" si="7"/>
        <v>-116.2</v>
      </c>
      <c r="I19" s="287">
        <f t="shared" si="3"/>
        <v>-0.6875739645</v>
      </c>
      <c r="J19" s="375">
        <f>(44/10)*12</f>
        <v>52.8</v>
      </c>
      <c r="K19" s="274"/>
    </row>
    <row r="20" ht="173.25" customHeight="1">
      <c r="A20" s="275"/>
      <c r="B20" s="260" t="s">
        <v>45</v>
      </c>
      <c r="C20" s="379" t="s">
        <v>23</v>
      </c>
      <c r="D20" s="102" t="s">
        <v>24</v>
      </c>
      <c r="E20" s="102" t="s">
        <v>13</v>
      </c>
      <c r="F20" s="296">
        <v>2.65</v>
      </c>
      <c r="G20" s="292">
        <v>2.63</v>
      </c>
      <c r="H20" s="294">
        <f>J20-G20</f>
        <v>-0.05</v>
      </c>
      <c r="I20" s="295">
        <f t="shared" si="3"/>
        <v>-0.01901140684</v>
      </c>
      <c r="J20" s="377">
        <v>2.58</v>
      </c>
      <c r="K20" s="366" t="s">
        <v>136</v>
      </c>
    </row>
    <row r="21" ht="89.25" customHeight="1">
      <c r="A21" s="278" t="s">
        <v>137</v>
      </c>
      <c r="B21" s="260" t="s">
        <v>48</v>
      </c>
      <c r="C21" s="261" t="s">
        <v>11</v>
      </c>
      <c r="D21" s="262" t="s">
        <v>126</v>
      </c>
      <c r="E21" s="262" t="s">
        <v>13</v>
      </c>
      <c r="F21" s="267">
        <f t="shared" ref="F21:G21" si="8">F22+F23+F24</f>
        <v>1514</v>
      </c>
      <c r="G21" s="272">
        <f t="shared" si="8"/>
        <v>1706</v>
      </c>
      <c r="H21" s="289">
        <f t="shared" ref="H21:H24" si="9">SUM(J21-G21)</f>
        <v>-90.8</v>
      </c>
      <c r="I21" s="287">
        <f t="shared" si="3"/>
        <v>-0.05322391559</v>
      </c>
      <c r="J21" s="375">
        <f>J22+J23+J24</f>
        <v>1615.2</v>
      </c>
      <c r="K21" s="268" t="s">
        <v>213</v>
      </c>
    </row>
    <row r="22" ht="89.25" customHeight="1">
      <c r="A22" s="269"/>
      <c r="B22" s="260" t="s">
        <v>50</v>
      </c>
      <c r="C22" s="261" t="s">
        <v>127</v>
      </c>
      <c r="D22" s="262" t="s">
        <v>128</v>
      </c>
      <c r="E22" s="262" t="s">
        <v>13</v>
      </c>
      <c r="F22" s="267">
        <v>403.0</v>
      </c>
      <c r="G22" s="272">
        <v>438.0</v>
      </c>
      <c r="H22" s="289">
        <f t="shared" si="9"/>
        <v>-13.2</v>
      </c>
      <c r="I22" s="287">
        <f t="shared" si="3"/>
        <v>-0.0301369863</v>
      </c>
      <c r="J22" s="375">
        <f>(354/10)*12</f>
        <v>424.8</v>
      </c>
      <c r="K22" s="270"/>
    </row>
    <row r="23" ht="89.25" customHeight="1">
      <c r="A23" s="269"/>
      <c r="B23" s="260" t="s">
        <v>51</v>
      </c>
      <c r="C23" s="261" t="s">
        <v>129</v>
      </c>
      <c r="D23" s="262" t="s">
        <v>130</v>
      </c>
      <c r="E23" s="262" t="s">
        <v>13</v>
      </c>
      <c r="F23" s="267">
        <v>667.0</v>
      </c>
      <c r="G23" s="272">
        <v>629.0</v>
      </c>
      <c r="H23" s="289">
        <f t="shared" si="9"/>
        <v>86.2</v>
      </c>
      <c r="I23" s="287">
        <f t="shared" si="3"/>
        <v>0.1370429253</v>
      </c>
      <c r="J23" s="375">
        <f>(596/10)*12</f>
        <v>715.2</v>
      </c>
      <c r="K23" s="270"/>
    </row>
    <row r="24" ht="47.25" customHeight="1">
      <c r="A24" s="269"/>
      <c r="B24" s="260" t="s">
        <v>171</v>
      </c>
      <c r="C24" s="271" t="s">
        <v>165</v>
      </c>
      <c r="D24" s="262" t="s">
        <v>166</v>
      </c>
      <c r="E24" s="262" t="s">
        <v>13</v>
      </c>
      <c r="F24" s="267">
        <v>444.0</v>
      </c>
      <c r="G24" s="272">
        <v>639.0</v>
      </c>
      <c r="H24" s="289">
        <f t="shared" si="9"/>
        <v>-163.8</v>
      </c>
      <c r="I24" s="287">
        <f t="shared" si="3"/>
        <v>-0.2563380282</v>
      </c>
      <c r="J24" s="375">
        <f>(396/10)*12</f>
        <v>475.2</v>
      </c>
      <c r="K24" s="274"/>
    </row>
    <row r="25" ht="173.25" customHeight="1">
      <c r="A25" s="275"/>
      <c r="B25" s="260" t="s">
        <v>172</v>
      </c>
      <c r="C25" s="380" t="s">
        <v>23</v>
      </c>
      <c r="D25" s="121" t="s">
        <v>24</v>
      </c>
      <c r="E25" s="121" t="s">
        <v>13</v>
      </c>
      <c r="F25" s="355">
        <v>2.95</v>
      </c>
      <c r="G25" s="368">
        <v>2.68</v>
      </c>
      <c r="H25" s="300">
        <f>J25-G25</f>
        <v>0.06</v>
      </c>
      <c r="I25" s="301">
        <f t="shared" si="3"/>
        <v>0.0223880597</v>
      </c>
      <c r="J25" s="381">
        <v>2.74</v>
      </c>
      <c r="K25" s="369" t="s">
        <v>136</v>
      </c>
    </row>
    <row r="26" ht="89.25" customHeight="1">
      <c r="A26" s="304" t="s">
        <v>138</v>
      </c>
      <c r="B26" s="260" t="s">
        <v>56</v>
      </c>
      <c r="C26" s="305" t="s">
        <v>11</v>
      </c>
      <c r="D26" s="262" t="s">
        <v>126</v>
      </c>
      <c r="E26" s="262" t="s">
        <v>13</v>
      </c>
      <c r="F26" s="267">
        <f t="shared" ref="F26:G26" si="10">F27+F28+F29</f>
        <v>3157</v>
      </c>
      <c r="G26" s="272">
        <f t="shared" si="10"/>
        <v>3687</v>
      </c>
      <c r="H26" s="289">
        <f t="shared" ref="H26:H41" si="11">SUM(J26-G26)</f>
        <v>-447</v>
      </c>
      <c r="I26" s="287">
        <f t="shared" si="3"/>
        <v>-0.1212367779</v>
      </c>
      <c r="J26" s="375">
        <f>J27+J28+J29</f>
        <v>3240</v>
      </c>
      <c r="K26" s="268" t="s">
        <v>214</v>
      </c>
    </row>
    <row r="27" ht="89.25" customHeight="1">
      <c r="A27" s="269"/>
      <c r="B27" s="260" t="s">
        <v>57</v>
      </c>
      <c r="C27" s="305" t="s">
        <v>127</v>
      </c>
      <c r="D27" s="262" t="s">
        <v>128</v>
      </c>
      <c r="E27" s="262" t="s">
        <v>13</v>
      </c>
      <c r="F27" s="267">
        <v>1445.0</v>
      </c>
      <c r="G27" s="272">
        <v>1663.0</v>
      </c>
      <c r="H27" s="289">
        <f t="shared" si="11"/>
        <v>-166.6</v>
      </c>
      <c r="I27" s="287">
        <f t="shared" si="3"/>
        <v>-0.1001803969</v>
      </c>
      <c r="J27" s="375">
        <f>(1247/10)*12</f>
        <v>1496.4</v>
      </c>
      <c r="K27" s="270"/>
    </row>
    <row r="28" ht="89.25" customHeight="1">
      <c r="A28" s="269"/>
      <c r="B28" s="260" t="s">
        <v>59</v>
      </c>
      <c r="C28" s="305" t="s">
        <v>129</v>
      </c>
      <c r="D28" s="262" t="s">
        <v>130</v>
      </c>
      <c r="E28" s="262" t="s">
        <v>13</v>
      </c>
      <c r="F28" s="267">
        <v>1678.0</v>
      </c>
      <c r="G28" s="272">
        <v>1989.0</v>
      </c>
      <c r="H28" s="289">
        <f t="shared" si="11"/>
        <v>-263.4</v>
      </c>
      <c r="I28" s="287">
        <f t="shared" si="3"/>
        <v>-0.132428356</v>
      </c>
      <c r="J28" s="375">
        <f>(1438/10)*12</f>
        <v>1725.6</v>
      </c>
      <c r="K28" s="270"/>
    </row>
    <row r="29" ht="47.25" customHeight="1">
      <c r="A29" s="275"/>
      <c r="B29" s="260" t="s">
        <v>173</v>
      </c>
      <c r="C29" s="305" t="s">
        <v>165</v>
      </c>
      <c r="D29" s="262" t="s">
        <v>166</v>
      </c>
      <c r="E29" s="262" t="s">
        <v>13</v>
      </c>
      <c r="F29" s="267">
        <v>34.0</v>
      </c>
      <c r="G29" s="272">
        <v>35.0</v>
      </c>
      <c r="H29" s="289">
        <f t="shared" si="11"/>
        <v>-17</v>
      </c>
      <c r="I29" s="287">
        <f t="shared" si="3"/>
        <v>-0.4857142857</v>
      </c>
      <c r="J29" s="375">
        <f>(15/10)*12</f>
        <v>18</v>
      </c>
      <c r="K29" s="274"/>
    </row>
    <row r="30" ht="89.25" customHeight="1">
      <c r="A30" s="278" t="s">
        <v>139</v>
      </c>
      <c r="B30" s="260" t="s">
        <v>62</v>
      </c>
      <c r="C30" s="305" t="s">
        <v>11</v>
      </c>
      <c r="D30" s="262" t="s">
        <v>126</v>
      </c>
      <c r="E30" s="262" t="s">
        <v>13</v>
      </c>
      <c r="F30" s="267">
        <f t="shared" ref="F30:G30" si="12">F31+F32+F33</f>
        <v>13082</v>
      </c>
      <c r="G30" s="272">
        <f t="shared" si="12"/>
        <v>12321</v>
      </c>
      <c r="H30" s="289">
        <f t="shared" si="11"/>
        <v>-2949</v>
      </c>
      <c r="I30" s="287">
        <f t="shared" si="3"/>
        <v>-0.2393474556</v>
      </c>
      <c r="J30" s="375">
        <f>J31+J32+J33</f>
        <v>9372</v>
      </c>
      <c r="K30" s="268" t="s">
        <v>215</v>
      </c>
    </row>
    <row r="31" ht="89.25" customHeight="1">
      <c r="A31" s="269"/>
      <c r="B31" s="260" t="s">
        <v>63</v>
      </c>
      <c r="C31" s="305" t="s">
        <v>127</v>
      </c>
      <c r="D31" s="262" t="s">
        <v>128</v>
      </c>
      <c r="E31" s="262" t="s">
        <v>13</v>
      </c>
      <c r="F31" s="267">
        <v>6440.0</v>
      </c>
      <c r="G31" s="272">
        <v>5463.0</v>
      </c>
      <c r="H31" s="289">
        <f t="shared" si="11"/>
        <v>-1425</v>
      </c>
      <c r="I31" s="287">
        <f t="shared" si="3"/>
        <v>-0.2608456892</v>
      </c>
      <c r="J31" s="375">
        <f>(3365/10)*12</f>
        <v>4038</v>
      </c>
      <c r="K31" s="270"/>
    </row>
    <row r="32" ht="89.25" customHeight="1">
      <c r="A32" s="269"/>
      <c r="B32" s="260" t="s">
        <v>65</v>
      </c>
      <c r="C32" s="305" t="s">
        <v>129</v>
      </c>
      <c r="D32" s="262" t="s">
        <v>130</v>
      </c>
      <c r="E32" s="262" t="s">
        <v>13</v>
      </c>
      <c r="F32" s="267">
        <v>6159.0</v>
      </c>
      <c r="G32" s="272">
        <v>6221.0</v>
      </c>
      <c r="H32" s="289">
        <f t="shared" si="11"/>
        <v>-1249.4</v>
      </c>
      <c r="I32" s="287">
        <f t="shared" si="3"/>
        <v>-0.2008358785</v>
      </c>
      <c r="J32" s="375">
        <f>(4143/10)*12</f>
        <v>4971.6</v>
      </c>
      <c r="K32" s="270"/>
    </row>
    <row r="33" ht="47.25" customHeight="1">
      <c r="A33" s="275"/>
      <c r="B33" s="260" t="s">
        <v>174</v>
      </c>
      <c r="C33" s="305" t="s">
        <v>165</v>
      </c>
      <c r="D33" s="262" t="s">
        <v>166</v>
      </c>
      <c r="E33" s="262" t="s">
        <v>13</v>
      </c>
      <c r="F33" s="267">
        <v>483.0</v>
      </c>
      <c r="G33" s="272">
        <v>637.0</v>
      </c>
      <c r="H33" s="289">
        <f t="shared" si="11"/>
        <v>-274.6</v>
      </c>
      <c r="I33" s="287">
        <f t="shared" si="3"/>
        <v>-0.4310832025</v>
      </c>
      <c r="J33" s="375">
        <f>(302/10)*12</f>
        <v>362.4</v>
      </c>
      <c r="K33" s="274"/>
    </row>
    <row r="34" ht="89.25" customHeight="1">
      <c r="A34" s="307" t="s">
        <v>216</v>
      </c>
      <c r="B34" s="190" t="s">
        <v>68</v>
      </c>
      <c r="C34" s="305" t="s">
        <v>11</v>
      </c>
      <c r="D34" s="262" t="s">
        <v>126</v>
      </c>
      <c r="E34" s="262" t="s">
        <v>13</v>
      </c>
      <c r="F34" s="267">
        <f t="shared" ref="F34:G34" si="13">F35+F36+F37</f>
        <v>2839</v>
      </c>
      <c r="G34" s="272">
        <f t="shared" si="13"/>
        <v>3993</v>
      </c>
      <c r="H34" s="289">
        <f t="shared" si="11"/>
        <v>-1144.2</v>
      </c>
      <c r="I34" s="287">
        <f t="shared" si="3"/>
        <v>-0.2865514651</v>
      </c>
      <c r="J34" s="375">
        <f>J35+J36+J37</f>
        <v>2848.8</v>
      </c>
      <c r="K34" s="308"/>
    </row>
    <row r="35" ht="89.25" customHeight="1">
      <c r="A35" s="309"/>
      <c r="B35" s="190" t="s">
        <v>69</v>
      </c>
      <c r="C35" s="305" t="s">
        <v>127</v>
      </c>
      <c r="D35" s="262" t="s">
        <v>128</v>
      </c>
      <c r="E35" s="262" t="s">
        <v>13</v>
      </c>
      <c r="F35" s="267">
        <v>1261.0</v>
      </c>
      <c r="G35" s="272">
        <v>1806.0</v>
      </c>
      <c r="H35" s="289">
        <f t="shared" si="11"/>
        <v>-604.8</v>
      </c>
      <c r="I35" s="287">
        <f t="shared" si="3"/>
        <v>-0.3348837209</v>
      </c>
      <c r="J35" s="375">
        <f>(1001/10)*12</f>
        <v>1201.2</v>
      </c>
      <c r="K35" s="268" t="s">
        <v>217</v>
      </c>
    </row>
    <row r="36" ht="89.25" customHeight="1">
      <c r="A36" s="309"/>
      <c r="B36" s="209" t="s">
        <v>71</v>
      </c>
      <c r="C36" s="305" t="s">
        <v>129</v>
      </c>
      <c r="D36" s="262" t="s">
        <v>130</v>
      </c>
      <c r="E36" s="262" t="s">
        <v>13</v>
      </c>
      <c r="F36" s="267">
        <v>1417.0</v>
      </c>
      <c r="G36" s="272">
        <v>1972.0</v>
      </c>
      <c r="H36" s="289">
        <f t="shared" si="11"/>
        <v>-583.6</v>
      </c>
      <c r="I36" s="287">
        <f t="shared" si="3"/>
        <v>-0.2959432049</v>
      </c>
      <c r="J36" s="375">
        <f>(1157/10)*12</f>
        <v>1388.4</v>
      </c>
      <c r="K36" s="270"/>
    </row>
    <row r="37" ht="47.25" customHeight="1">
      <c r="A37" s="312"/>
      <c r="B37" s="313" t="s">
        <v>175</v>
      </c>
      <c r="C37" s="305" t="s">
        <v>165</v>
      </c>
      <c r="D37" s="262" t="s">
        <v>166</v>
      </c>
      <c r="E37" s="262" t="s">
        <v>13</v>
      </c>
      <c r="F37" s="267">
        <v>161.0</v>
      </c>
      <c r="G37" s="272">
        <v>215.0</v>
      </c>
      <c r="H37" s="289">
        <f t="shared" si="11"/>
        <v>44.2</v>
      </c>
      <c r="I37" s="287">
        <f t="shared" si="3"/>
        <v>0.2055813953</v>
      </c>
      <c r="J37" s="375">
        <f>(216/10)*12</f>
        <v>259.2</v>
      </c>
      <c r="K37" s="274"/>
    </row>
    <row r="38" ht="78.75" customHeight="1">
      <c r="A38" s="315" t="s">
        <v>143</v>
      </c>
      <c r="B38" s="260" t="s">
        <v>73</v>
      </c>
      <c r="C38" s="305" t="s">
        <v>11</v>
      </c>
      <c r="D38" s="262" t="s">
        <v>74</v>
      </c>
      <c r="E38" s="262" t="s">
        <v>13</v>
      </c>
      <c r="F38" s="267">
        <f>F39+F40</f>
        <v>9467</v>
      </c>
      <c r="G38" s="272">
        <v>12141.0</v>
      </c>
      <c r="H38" s="289">
        <f t="shared" si="11"/>
        <v>-1770.6</v>
      </c>
      <c r="I38" s="287">
        <f t="shared" si="3"/>
        <v>-0.145836422</v>
      </c>
      <c r="J38" s="375">
        <f>(8642/10)*12</f>
        <v>10370.4</v>
      </c>
      <c r="K38" s="370" t="s">
        <v>218</v>
      </c>
    </row>
    <row r="39" ht="47.25" customHeight="1">
      <c r="A39" s="316"/>
      <c r="B39" s="260" t="s">
        <v>75</v>
      </c>
      <c r="C39" s="305" t="s">
        <v>176</v>
      </c>
      <c r="D39" s="262" t="s">
        <v>74</v>
      </c>
      <c r="E39" s="262" t="s">
        <v>13</v>
      </c>
      <c r="F39" s="267">
        <v>7193.0</v>
      </c>
      <c r="G39" s="272">
        <f>G38-G40</f>
        <v>9531</v>
      </c>
      <c r="H39" s="289">
        <f t="shared" si="11"/>
        <v>-1380.6</v>
      </c>
      <c r="I39" s="287">
        <f t="shared" si="3"/>
        <v>-0.1448536355</v>
      </c>
      <c r="J39" s="375">
        <f>J38-J40</f>
        <v>8150.4</v>
      </c>
      <c r="K39" s="311"/>
    </row>
    <row r="40" ht="38.25" customHeight="1">
      <c r="A40" s="316"/>
      <c r="B40" s="260" t="s">
        <v>147</v>
      </c>
      <c r="C40" s="305" t="s">
        <v>177</v>
      </c>
      <c r="D40" s="262" t="s">
        <v>74</v>
      </c>
      <c r="E40" s="262" t="s">
        <v>13</v>
      </c>
      <c r="F40" s="267">
        <v>2274.0</v>
      </c>
      <c r="G40" s="272">
        <v>2610.0</v>
      </c>
      <c r="H40" s="289">
        <f t="shared" si="11"/>
        <v>-390</v>
      </c>
      <c r="I40" s="287">
        <f t="shared" si="3"/>
        <v>-0.1494252874</v>
      </c>
      <c r="J40" s="375">
        <f>(1850/10)*12</f>
        <v>2220</v>
      </c>
      <c r="K40" s="311"/>
    </row>
    <row r="41" ht="63.0" customHeight="1">
      <c r="A41" s="316"/>
      <c r="B41" s="260" t="s">
        <v>178</v>
      </c>
      <c r="C41" s="305" t="s">
        <v>145</v>
      </c>
      <c r="D41" s="262" t="s">
        <v>77</v>
      </c>
      <c r="E41" s="262" t="s">
        <v>13</v>
      </c>
      <c r="F41" s="267">
        <v>1432.0</v>
      </c>
      <c r="G41" s="272">
        <v>1634.0</v>
      </c>
      <c r="H41" s="289">
        <f t="shared" si="11"/>
        <v>-194</v>
      </c>
      <c r="I41" s="287">
        <f t="shared" si="3"/>
        <v>-0.1187270502</v>
      </c>
      <c r="J41" s="375">
        <f>(1200/10)*12</f>
        <v>1440</v>
      </c>
      <c r="K41" s="311"/>
    </row>
    <row r="42" ht="94.5" customHeight="1">
      <c r="A42" s="318"/>
      <c r="B42" s="260" t="s">
        <v>179</v>
      </c>
      <c r="C42" s="305" t="s">
        <v>148</v>
      </c>
      <c r="D42" s="262" t="s">
        <v>149</v>
      </c>
      <c r="E42" s="262" t="s">
        <v>13</v>
      </c>
      <c r="F42" s="322">
        <v>0.105</v>
      </c>
      <c r="G42" s="319">
        <v>0.0884</v>
      </c>
      <c r="H42" s="287">
        <f t="shared" ref="H42:H46" si="14">J42-G42</f>
        <v>0</v>
      </c>
      <c r="I42" s="287">
        <f>J42-G42</f>
        <v>0</v>
      </c>
      <c r="J42" s="382">
        <v>0.0884</v>
      </c>
      <c r="K42" s="371"/>
    </row>
    <row r="43" ht="78.75" customHeight="1">
      <c r="A43" s="315" t="s">
        <v>152</v>
      </c>
      <c r="B43" s="260" t="s">
        <v>180</v>
      </c>
      <c r="C43" s="305" t="s">
        <v>11</v>
      </c>
      <c r="D43" s="262" t="s">
        <v>74</v>
      </c>
      <c r="E43" s="262" t="s">
        <v>13</v>
      </c>
      <c r="F43" s="267">
        <f>F44+F45</f>
        <v>23184</v>
      </c>
      <c r="G43" s="272">
        <v>27810.0</v>
      </c>
      <c r="H43" s="289">
        <f t="shared" si="14"/>
        <v>2310</v>
      </c>
      <c r="I43" s="287">
        <f t="shared" ref="I43:I46" si="15">H43/G43</f>
        <v>0.08306364617</v>
      </c>
      <c r="J43" s="375">
        <f>(25100/10)*12</f>
        <v>30120</v>
      </c>
      <c r="K43" s="370" t="s">
        <v>204</v>
      </c>
    </row>
    <row r="44" ht="47.25" customHeight="1">
      <c r="A44" s="316"/>
      <c r="B44" s="260" t="s">
        <v>181</v>
      </c>
      <c r="C44" s="305" t="s">
        <v>176</v>
      </c>
      <c r="D44" s="262" t="s">
        <v>74</v>
      </c>
      <c r="E44" s="262" t="s">
        <v>13</v>
      </c>
      <c r="F44" s="267">
        <v>11592.0</v>
      </c>
      <c r="G44" s="272">
        <f>G43-G45</f>
        <v>14876</v>
      </c>
      <c r="H44" s="289">
        <f t="shared" si="14"/>
        <v>1045.6</v>
      </c>
      <c r="I44" s="287">
        <f t="shared" si="15"/>
        <v>0.07028771175</v>
      </c>
      <c r="J44" s="375">
        <f>J43-J45</f>
        <v>15921.6</v>
      </c>
      <c r="K44" s="311"/>
    </row>
    <row r="45" ht="38.25" customHeight="1">
      <c r="A45" s="316"/>
      <c r="B45" s="260" t="s">
        <v>182</v>
      </c>
      <c r="C45" s="305" t="s">
        <v>177</v>
      </c>
      <c r="D45" s="262" t="s">
        <v>74</v>
      </c>
      <c r="E45" s="262" t="s">
        <v>13</v>
      </c>
      <c r="F45" s="267">
        <v>11592.0</v>
      </c>
      <c r="G45" s="272">
        <v>12934.0</v>
      </c>
      <c r="H45" s="289">
        <f t="shared" si="14"/>
        <v>1264.4</v>
      </c>
      <c r="I45" s="287">
        <f t="shared" si="15"/>
        <v>0.09775784753</v>
      </c>
      <c r="J45" s="375">
        <f>(11832/10)*12</f>
        <v>14198.4</v>
      </c>
      <c r="K45" s="311"/>
    </row>
    <row r="46" ht="63.0" customHeight="1">
      <c r="A46" s="316"/>
      <c r="B46" s="260" t="s">
        <v>183</v>
      </c>
      <c r="C46" s="305" t="s">
        <v>145</v>
      </c>
      <c r="D46" s="262" t="s">
        <v>77</v>
      </c>
      <c r="E46" s="262" t="s">
        <v>13</v>
      </c>
      <c r="F46" s="267">
        <v>1605.0</v>
      </c>
      <c r="G46" s="272">
        <v>1827.0</v>
      </c>
      <c r="H46" s="289">
        <f t="shared" si="14"/>
        <v>53.4</v>
      </c>
      <c r="I46" s="287">
        <f t="shared" si="15"/>
        <v>0.02922824302</v>
      </c>
      <c r="J46" s="375">
        <f>(1567/10)*12</f>
        <v>1880.4</v>
      </c>
      <c r="K46" s="311"/>
    </row>
    <row r="47" ht="94.5" customHeight="1">
      <c r="A47" s="318"/>
      <c r="B47" s="260" t="s">
        <v>184</v>
      </c>
      <c r="C47" s="305" t="s">
        <v>148</v>
      </c>
      <c r="D47" s="262" t="s">
        <v>149</v>
      </c>
      <c r="E47" s="262" t="s">
        <v>13</v>
      </c>
      <c r="F47" s="322" t="s">
        <v>196</v>
      </c>
      <c r="G47" s="319">
        <v>0.326</v>
      </c>
      <c r="H47" s="321" t="s">
        <v>205</v>
      </c>
      <c r="I47" s="321" t="s">
        <v>205</v>
      </c>
      <c r="J47" s="382">
        <v>0.302</v>
      </c>
      <c r="K47" s="371"/>
    </row>
    <row r="48" ht="162.0" customHeight="1">
      <c r="A48" s="324" t="s">
        <v>78</v>
      </c>
      <c r="B48" s="260" t="s">
        <v>79</v>
      </c>
      <c r="C48" s="305" t="s">
        <v>80</v>
      </c>
      <c r="D48" s="262" t="s">
        <v>81</v>
      </c>
      <c r="E48" s="262" t="s">
        <v>13</v>
      </c>
      <c r="F48" s="328">
        <v>254768.0</v>
      </c>
      <c r="G48" s="372">
        <v>248799.12</v>
      </c>
      <c r="H48" s="327">
        <f t="shared" ref="H48:H50" si="16">SUM(J48-G48)</f>
        <v>24112.76</v>
      </c>
      <c r="I48" s="287">
        <f t="shared" ref="I48:I50" si="17">H48/G48</f>
        <v>0.09691658073</v>
      </c>
      <c r="J48" s="383">
        <v>272911.88</v>
      </c>
      <c r="K48" s="308" t="s">
        <v>219</v>
      </c>
    </row>
    <row r="49" ht="110.25" customHeight="1">
      <c r="A49" s="329"/>
      <c r="B49" s="260" t="s">
        <v>83</v>
      </c>
      <c r="C49" s="330" t="s">
        <v>84</v>
      </c>
      <c r="D49" s="262" t="s">
        <v>85</v>
      </c>
      <c r="E49" s="262" t="s">
        <v>13</v>
      </c>
      <c r="F49" s="331">
        <v>76000.0</v>
      </c>
      <c r="G49" s="325">
        <v>21571.92</v>
      </c>
      <c r="H49" s="327">
        <f t="shared" si="16"/>
        <v>-6202.18</v>
      </c>
      <c r="I49" s="287">
        <f t="shared" si="17"/>
        <v>-0.2875117282</v>
      </c>
      <c r="J49" s="384">
        <v>15369.74</v>
      </c>
      <c r="K49" s="308" t="s">
        <v>49</v>
      </c>
    </row>
    <row r="50" ht="76.5" customHeight="1">
      <c r="A50" s="332"/>
      <c r="B50" s="260" t="s">
        <v>86</v>
      </c>
      <c r="C50" s="330" t="s">
        <v>220</v>
      </c>
      <c r="D50" s="262" t="s">
        <v>221</v>
      </c>
      <c r="E50" s="262" t="s">
        <v>13</v>
      </c>
      <c r="F50" s="328">
        <v>1952.0</v>
      </c>
      <c r="G50" s="372">
        <v>0.0</v>
      </c>
      <c r="H50" s="327">
        <f t="shared" si="16"/>
        <v>22612</v>
      </c>
      <c r="I50" s="321" t="str">
        <f t="shared" si="17"/>
        <v>#DIV/0!</v>
      </c>
      <c r="J50" s="383">
        <v>22612.0</v>
      </c>
      <c r="K50" s="308" t="s">
        <v>222</v>
      </c>
    </row>
    <row r="51" ht="102.0" customHeight="1">
      <c r="A51" s="333" t="s">
        <v>89</v>
      </c>
      <c r="B51" s="245" t="s">
        <v>90</v>
      </c>
      <c r="C51" s="185" t="s">
        <v>91</v>
      </c>
      <c r="D51" s="45" t="s">
        <v>92</v>
      </c>
      <c r="E51" s="102" t="s">
        <v>13</v>
      </c>
      <c r="F51" s="338" t="s">
        <v>155</v>
      </c>
      <c r="G51" s="334" t="s">
        <v>155</v>
      </c>
      <c r="H51" s="336" t="s">
        <v>94</v>
      </c>
      <c r="I51" s="336"/>
      <c r="J51" s="385" t="s">
        <v>155</v>
      </c>
      <c r="K51" s="126" t="s">
        <v>95</v>
      </c>
    </row>
    <row r="52" ht="126.0" customHeight="1">
      <c r="A52" s="339"/>
      <c r="B52" s="231" t="s">
        <v>96</v>
      </c>
      <c r="C52" s="232" t="s">
        <v>97</v>
      </c>
      <c r="D52" s="102" t="s">
        <v>98</v>
      </c>
      <c r="E52" s="102"/>
      <c r="F52" s="340"/>
      <c r="G52" s="340"/>
      <c r="H52" s="340"/>
      <c r="I52" s="340"/>
      <c r="J52" s="340"/>
      <c r="K52" s="131" t="s">
        <v>223</v>
      </c>
    </row>
    <row r="53" ht="110.25" customHeight="1">
      <c r="A53" s="341"/>
      <c r="B53" s="233" t="s">
        <v>100</v>
      </c>
      <c r="C53" s="200" t="s">
        <v>101</v>
      </c>
      <c r="D53" s="80" t="s">
        <v>102</v>
      </c>
      <c r="E53" s="53"/>
      <c r="F53" s="342"/>
      <c r="G53" s="342"/>
      <c r="H53" s="342"/>
      <c r="I53" s="342"/>
      <c r="J53" s="342"/>
      <c r="K53" s="138" t="s">
        <v>104</v>
      </c>
    </row>
    <row r="54" ht="78.75" customHeight="1">
      <c r="A54" s="344" t="s">
        <v>105</v>
      </c>
      <c r="B54" s="227" t="s">
        <v>106</v>
      </c>
      <c r="C54" s="214" t="s">
        <v>107</v>
      </c>
      <c r="D54" s="36" t="s">
        <v>157</v>
      </c>
      <c r="E54" s="121" t="s">
        <v>13</v>
      </c>
      <c r="F54" s="239">
        <f>1372748/5609668</f>
        <v>0.2447110952</v>
      </c>
      <c r="G54" s="237">
        <f>1834857.84/7368658.08</f>
        <v>0.249008411</v>
      </c>
      <c r="H54" s="142">
        <f>-(-J54+G54)/G54</f>
        <v>0.1472347738</v>
      </c>
      <c r="I54" s="69">
        <f t="shared" ref="I54:I56" si="18">J54-G54</f>
        <v>0.03666269708</v>
      </c>
      <c r="J54" s="386">
        <f>2190280/7667138.67</f>
        <v>0.2856711081</v>
      </c>
      <c r="K54" s="144" t="s">
        <v>218</v>
      </c>
    </row>
    <row r="55" ht="94.5" customHeight="1">
      <c r="A55" s="339"/>
      <c r="B55" s="240" t="s">
        <v>110</v>
      </c>
      <c r="C55" s="241" t="s">
        <v>111</v>
      </c>
      <c r="D55" s="44" t="s">
        <v>112</v>
      </c>
      <c r="E55" s="102"/>
      <c r="F55" s="244">
        <f>1712131/5609668</f>
        <v>0.305210754</v>
      </c>
      <c r="G55" s="242">
        <f>2031863/7368658.08</f>
        <v>0.2757439656</v>
      </c>
      <c r="H55" s="142">
        <f>-(-G55+F55)/F55</f>
        <v>-0.09654570829</v>
      </c>
      <c r="I55" s="69">
        <f t="shared" si="18"/>
        <v>-0.003178485819</v>
      </c>
      <c r="J55" s="387">
        <f>2089797.33/7667138.67</f>
        <v>0.2725654798</v>
      </c>
      <c r="K55" s="144" t="s">
        <v>186</v>
      </c>
    </row>
    <row r="56" ht="306.0" customHeight="1">
      <c r="A56" s="339"/>
      <c r="B56" s="245" t="s">
        <v>113</v>
      </c>
      <c r="C56" s="185" t="s">
        <v>114</v>
      </c>
      <c r="D56" s="45" t="s">
        <v>224</v>
      </c>
      <c r="E56" s="102"/>
      <c r="F56" s="249">
        <v>0.7416</v>
      </c>
      <c r="G56" s="246">
        <v>0.8772</v>
      </c>
      <c r="H56" s="248">
        <f>-(-J56+G56)/G56</f>
        <v>-0.1932284542</v>
      </c>
      <c r="I56" s="69">
        <f t="shared" si="18"/>
        <v>-0.1695</v>
      </c>
      <c r="J56" s="388">
        <v>0.7077</v>
      </c>
      <c r="K56" s="144"/>
    </row>
    <row r="57" ht="64.5" customHeight="1">
      <c r="A57" s="22"/>
      <c r="B57" s="250" t="s">
        <v>116</v>
      </c>
      <c r="C57" s="251" t="s">
        <v>117</v>
      </c>
      <c r="D57" s="155" t="s">
        <v>118</v>
      </c>
      <c r="E57" s="155"/>
      <c r="F57" s="255">
        <v>328.0</v>
      </c>
      <c r="G57" s="252">
        <v>824.0</v>
      </c>
      <c r="H57" s="158">
        <f>J57-G57</f>
        <v>406</v>
      </c>
      <c r="I57" s="254">
        <f>H57/G57</f>
        <v>0.4927184466</v>
      </c>
      <c r="J57" s="389">
        <v>1230.0</v>
      </c>
      <c r="K57" s="256" t="s">
        <v>208</v>
      </c>
    </row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G3:G4"/>
    <mergeCell ref="H3:H4"/>
    <mergeCell ref="A1:B2"/>
    <mergeCell ref="C1:G2"/>
    <mergeCell ref="H1:K2"/>
    <mergeCell ref="A3:A4"/>
    <mergeCell ref="B3:B4"/>
    <mergeCell ref="C3:C4"/>
    <mergeCell ref="D3:D4"/>
    <mergeCell ref="K3:K4"/>
    <mergeCell ref="E3:E4"/>
    <mergeCell ref="F3:F4"/>
    <mergeCell ref="A6:A10"/>
    <mergeCell ref="A11:A15"/>
    <mergeCell ref="A16:A20"/>
    <mergeCell ref="A21:A25"/>
    <mergeCell ref="A26:A29"/>
    <mergeCell ref="K30:K33"/>
    <mergeCell ref="K35:K37"/>
    <mergeCell ref="K38:K42"/>
    <mergeCell ref="K43:K47"/>
    <mergeCell ref="I3:I4"/>
    <mergeCell ref="J3:J4"/>
    <mergeCell ref="K6:K9"/>
    <mergeCell ref="K11:K14"/>
    <mergeCell ref="K16:K19"/>
    <mergeCell ref="K21:K24"/>
    <mergeCell ref="K26:K29"/>
    <mergeCell ref="H51:H53"/>
    <mergeCell ref="I51:I53"/>
    <mergeCell ref="J51:J53"/>
    <mergeCell ref="A30:A33"/>
    <mergeCell ref="A34:A37"/>
    <mergeCell ref="A38:A42"/>
    <mergeCell ref="A43:A47"/>
    <mergeCell ref="A51:A53"/>
    <mergeCell ref="F51:F53"/>
    <mergeCell ref="G51:G53"/>
    <mergeCell ref="A54:A57"/>
  </mergeCell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1.71"/>
    <col customWidth="1" min="2" max="2" width="5.57"/>
    <col customWidth="1" min="3" max="3" width="18.14"/>
    <col customWidth="1" min="4" max="4" width="15.57"/>
    <col customWidth="1" min="5" max="5" width="6.71"/>
    <col customWidth="1" min="6" max="6" width="12.71"/>
    <col customWidth="1" min="7" max="7" width="12.86"/>
    <col customWidth="1" min="8" max="8" width="13.86"/>
    <col customWidth="1" min="9" max="9" width="11.71"/>
    <col customWidth="1" min="10" max="10" width="13.29"/>
    <col customWidth="1" min="11" max="11" width="20.71"/>
    <col customWidth="1" min="12" max="14" width="8.71"/>
  </cols>
  <sheetData>
    <row r="1" ht="12.75" customHeight="1">
      <c r="A1" s="165"/>
      <c r="B1" s="4"/>
      <c r="C1" s="166" t="s">
        <v>225</v>
      </c>
      <c r="D1" s="4"/>
      <c r="E1" s="4"/>
      <c r="F1" s="4"/>
      <c r="G1" s="2"/>
      <c r="H1" s="167" t="s">
        <v>226</v>
      </c>
      <c r="I1" s="4"/>
      <c r="J1" s="4"/>
      <c r="K1" s="6"/>
    </row>
    <row r="2" ht="63.0" customHeight="1">
      <c r="A2" s="8"/>
      <c r="B2" s="11"/>
      <c r="C2" s="8"/>
      <c r="D2" s="11"/>
      <c r="E2" s="11"/>
      <c r="F2" s="11"/>
      <c r="G2" s="9"/>
      <c r="H2" s="10"/>
      <c r="I2" s="11"/>
      <c r="J2" s="11"/>
      <c r="K2" s="12"/>
    </row>
    <row r="3" ht="12.75" customHeight="1">
      <c r="A3" s="13" t="s">
        <v>2</v>
      </c>
      <c r="B3" s="168" t="s">
        <v>3</v>
      </c>
      <c r="C3" s="13" t="s">
        <v>4</v>
      </c>
      <c r="D3" s="16" t="s">
        <v>5</v>
      </c>
      <c r="E3" s="169" t="s">
        <v>6</v>
      </c>
      <c r="F3" s="170">
        <v>2021.0</v>
      </c>
      <c r="G3" s="373">
        <v>2022.0</v>
      </c>
      <c r="H3" s="16" t="s">
        <v>227</v>
      </c>
      <c r="I3" s="16" t="s">
        <v>123</v>
      </c>
      <c r="J3" s="390">
        <v>2023.0</v>
      </c>
      <c r="K3" s="173" t="s">
        <v>228</v>
      </c>
    </row>
    <row r="4" ht="12.75" customHeight="1">
      <c r="A4" s="22"/>
      <c r="B4" s="174"/>
      <c r="C4" s="22"/>
      <c r="D4" s="23"/>
      <c r="E4" s="174"/>
      <c r="F4" s="24"/>
      <c r="G4" s="24"/>
      <c r="H4" s="23"/>
      <c r="I4" s="23"/>
      <c r="J4" s="24"/>
      <c r="K4" s="25"/>
    </row>
    <row r="5" ht="12.75" customHeight="1">
      <c r="A5" s="175"/>
      <c r="B5" s="258"/>
      <c r="C5" s="177"/>
      <c r="D5" s="178"/>
      <c r="E5" s="179"/>
      <c r="F5" s="180"/>
      <c r="G5" s="374"/>
      <c r="H5" s="179"/>
      <c r="I5" s="179"/>
      <c r="J5" s="391"/>
      <c r="K5" s="183"/>
    </row>
    <row r="6" ht="89.25" customHeight="1">
      <c r="A6" s="259" t="s">
        <v>125</v>
      </c>
      <c r="B6" s="260" t="s">
        <v>10</v>
      </c>
      <c r="C6" s="261" t="s">
        <v>11</v>
      </c>
      <c r="D6" s="262" t="s">
        <v>126</v>
      </c>
      <c r="E6" s="262" t="s">
        <v>13</v>
      </c>
      <c r="F6" s="272">
        <f t="shared" ref="F6:G6" si="1">F7+F8+F9</f>
        <v>10995</v>
      </c>
      <c r="G6" s="375">
        <f t="shared" si="1"/>
        <v>9979.2</v>
      </c>
      <c r="H6" s="265">
        <f t="shared" ref="H6:H9" si="2">SUM(J6-G6)</f>
        <v>-619.2</v>
      </c>
      <c r="I6" s="266">
        <f t="shared" ref="I6:I10" si="3">H6/G6</f>
        <v>-0.06204906205</v>
      </c>
      <c r="J6" s="392">
        <f>6383+J9</f>
        <v>9360</v>
      </c>
      <c r="K6" s="268" t="s">
        <v>212</v>
      </c>
    </row>
    <row r="7" ht="89.25" customHeight="1">
      <c r="A7" s="269"/>
      <c r="B7" s="260" t="s">
        <v>15</v>
      </c>
      <c r="C7" s="261" t="s">
        <v>127</v>
      </c>
      <c r="D7" s="262" t="s">
        <v>128</v>
      </c>
      <c r="E7" s="262" t="s">
        <v>13</v>
      </c>
      <c r="F7" s="272">
        <v>3738.0</v>
      </c>
      <c r="G7" s="375">
        <f>(3867/10)*12</f>
        <v>4640.4</v>
      </c>
      <c r="H7" s="265">
        <f t="shared" si="2"/>
        <v>-1633.4</v>
      </c>
      <c r="I7" s="266">
        <f t="shared" si="3"/>
        <v>-0.3519955176</v>
      </c>
      <c r="J7" s="392">
        <f>J6-J8-J9</f>
        <v>3007</v>
      </c>
      <c r="K7" s="270"/>
    </row>
    <row r="8" ht="89.25" customHeight="1">
      <c r="A8" s="269"/>
      <c r="B8" s="260" t="s">
        <v>19</v>
      </c>
      <c r="C8" s="261" t="s">
        <v>129</v>
      </c>
      <c r="D8" s="262" t="s">
        <v>130</v>
      </c>
      <c r="E8" s="262" t="s">
        <v>13</v>
      </c>
      <c r="F8" s="272">
        <v>4511.0</v>
      </c>
      <c r="G8" s="375">
        <f>(3546/10)*12</f>
        <v>4255.2</v>
      </c>
      <c r="H8" s="265">
        <f t="shared" si="2"/>
        <v>-879.2</v>
      </c>
      <c r="I8" s="266">
        <f t="shared" si="3"/>
        <v>-0.2066177853</v>
      </c>
      <c r="J8" s="392">
        <v>3376.0</v>
      </c>
      <c r="K8" s="270"/>
    </row>
    <row r="9" ht="47.25" customHeight="1">
      <c r="A9" s="269"/>
      <c r="B9" s="260" t="s">
        <v>164</v>
      </c>
      <c r="C9" s="271" t="s">
        <v>165</v>
      </c>
      <c r="D9" s="262" t="s">
        <v>166</v>
      </c>
      <c r="E9" s="262" t="s">
        <v>13</v>
      </c>
      <c r="F9" s="272">
        <v>2746.0</v>
      </c>
      <c r="G9" s="375">
        <f>(903/10)*12</f>
        <v>1083.6</v>
      </c>
      <c r="H9" s="265">
        <f t="shared" si="2"/>
        <v>1893.4</v>
      </c>
      <c r="I9" s="266">
        <f t="shared" si="3"/>
        <v>1.747323736</v>
      </c>
      <c r="J9" s="392">
        <v>2977.0</v>
      </c>
      <c r="K9" s="274"/>
    </row>
    <row r="10" ht="173.25" customHeight="1">
      <c r="A10" s="269"/>
      <c r="B10" s="260" t="s">
        <v>167</v>
      </c>
      <c r="C10" s="376" t="s">
        <v>23</v>
      </c>
      <c r="D10" s="53" t="s">
        <v>24</v>
      </c>
      <c r="E10" s="53" t="s">
        <v>13</v>
      </c>
      <c r="F10" s="364">
        <v>2.63</v>
      </c>
      <c r="G10" s="377">
        <v>2.6</v>
      </c>
      <c r="H10" s="286">
        <f>J10-G10</f>
        <v>0.01</v>
      </c>
      <c r="I10" s="295">
        <f t="shared" si="3"/>
        <v>0.003846153846</v>
      </c>
      <c r="J10" s="393">
        <v>2.61</v>
      </c>
      <c r="K10" s="365" t="s">
        <v>131</v>
      </c>
    </row>
    <row r="11" ht="173.25" customHeight="1">
      <c r="A11" s="275"/>
      <c r="B11" s="260" t="s">
        <v>22</v>
      </c>
      <c r="C11" s="376" t="s">
        <v>229</v>
      </c>
      <c r="D11" s="53" t="s">
        <v>230</v>
      </c>
      <c r="E11" s="53" t="s">
        <v>13</v>
      </c>
      <c r="F11" s="394" t="s">
        <v>231</v>
      </c>
      <c r="G11" s="395" t="s">
        <v>231</v>
      </c>
      <c r="H11" s="396" t="s">
        <v>231</v>
      </c>
      <c r="I11" s="396" t="s">
        <v>231</v>
      </c>
      <c r="J11" s="397">
        <v>0.0</v>
      </c>
      <c r="K11" s="398"/>
    </row>
    <row r="12" ht="89.25" customHeight="1">
      <c r="A12" s="278" t="s">
        <v>132</v>
      </c>
      <c r="B12" s="260" t="s">
        <v>27</v>
      </c>
      <c r="C12" s="279" t="s">
        <v>11</v>
      </c>
      <c r="D12" s="262" t="s">
        <v>126</v>
      </c>
      <c r="E12" s="53" t="s">
        <v>13</v>
      </c>
      <c r="F12" s="272">
        <f t="shared" ref="F12:G12" si="4">F13+F14+F15</f>
        <v>16088</v>
      </c>
      <c r="G12" s="375">
        <f t="shared" si="4"/>
        <v>17913.6</v>
      </c>
      <c r="H12" s="282">
        <f t="shared" ref="H12:H15" si="5">SUM(J12-G12)</f>
        <v>-772.6</v>
      </c>
      <c r="I12" s="283">
        <f t="shared" ref="I12:I16" si="6">H12/G12</f>
        <v>-0.04312924259</v>
      </c>
      <c r="J12" s="392">
        <f>15215+J15</f>
        <v>17141</v>
      </c>
      <c r="K12" s="268" t="s">
        <v>213</v>
      </c>
    </row>
    <row r="13" ht="89.25" customHeight="1">
      <c r="A13" s="269"/>
      <c r="B13" s="260" t="s">
        <v>29</v>
      </c>
      <c r="C13" s="261" t="s">
        <v>127</v>
      </c>
      <c r="D13" s="262" t="s">
        <v>128</v>
      </c>
      <c r="E13" s="262" t="s">
        <v>13</v>
      </c>
      <c r="F13" s="272">
        <v>8585.0</v>
      </c>
      <c r="G13" s="375">
        <f>(8782/10)*12</f>
        <v>10538.4</v>
      </c>
      <c r="H13" s="265">
        <f t="shared" si="5"/>
        <v>-590.4</v>
      </c>
      <c r="I13" s="283">
        <f t="shared" si="6"/>
        <v>-0.05602368481</v>
      </c>
      <c r="J13" s="392">
        <f>J12-J14-J15</f>
        <v>9948</v>
      </c>
      <c r="K13" s="270"/>
    </row>
    <row r="14" ht="89.25" customHeight="1">
      <c r="A14" s="269"/>
      <c r="B14" s="260" t="s">
        <v>32</v>
      </c>
      <c r="C14" s="261" t="s">
        <v>129</v>
      </c>
      <c r="D14" s="262" t="s">
        <v>130</v>
      </c>
      <c r="E14" s="262" t="s">
        <v>13</v>
      </c>
      <c r="F14" s="272">
        <v>5727.0</v>
      </c>
      <c r="G14" s="375">
        <f>(5393/10)*12</f>
        <v>6471.6</v>
      </c>
      <c r="H14" s="265">
        <f t="shared" si="5"/>
        <v>-1204.6</v>
      </c>
      <c r="I14" s="283">
        <f t="shared" si="6"/>
        <v>-0.1861363496</v>
      </c>
      <c r="J14" s="392">
        <v>5267.0</v>
      </c>
      <c r="K14" s="270"/>
    </row>
    <row r="15" ht="47.25" customHeight="1">
      <c r="A15" s="269"/>
      <c r="B15" s="260" t="s">
        <v>168</v>
      </c>
      <c r="C15" s="271" t="s">
        <v>165</v>
      </c>
      <c r="D15" s="262" t="s">
        <v>166</v>
      </c>
      <c r="E15" s="262" t="s">
        <v>13</v>
      </c>
      <c r="F15" s="272">
        <v>1776.0</v>
      </c>
      <c r="G15" s="375">
        <f>(753/10)*12</f>
        <v>903.6</v>
      </c>
      <c r="H15" s="265">
        <f t="shared" si="5"/>
        <v>1022.4</v>
      </c>
      <c r="I15" s="283">
        <f t="shared" si="6"/>
        <v>1.131474104</v>
      </c>
      <c r="J15" s="392">
        <v>1926.0</v>
      </c>
      <c r="K15" s="274"/>
    </row>
    <row r="16" ht="173.25" customHeight="1">
      <c r="A16" s="269"/>
      <c r="B16" s="260" t="s">
        <v>35</v>
      </c>
      <c r="C16" s="376" t="s">
        <v>23</v>
      </c>
      <c r="D16" s="53" t="s">
        <v>24</v>
      </c>
      <c r="E16" s="53" t="s">
        <v>13</v>
      </c>
      <c r="F16" s="364">
        <v>2.7</v>
      </c>
      <c r="G16" s="377">
        <v>2.9</v>
      </c>
      <c r="H16" s="286">
        <f>J16-G16</f>
        <v>-0.2</v>
      </c>
      <c r="I16" s="287">
        <f t="shared" si="6"/>
        <v>-0.06896551724</v>
      </c>
      <c r="J16" s="393">
        <v>2.7</v>
      </c>
      <c r="K16" s="366" t="s">
        <v>134</v>
      </c>
    </row>
    <row r="17" ht="173.25" customHeight="1">
      <c r="A17" s="275"/>
      <c r="B17" s="260" t="s">
        <v>22</v>
      </c>
      <c r="C17" s="376" t="s">
        <v>229</v>
      </c>
      <c r="D17" s="53" t="s">
        <v>230</v>
      </c>
      <c r="E17" s="53" t="s">
        <v>13</v>
      </c>
      <c r="F17" s="394" t="s">
        <v>231</v>
      </c>
      <c r="G17" s="395" t="s">
        <v>231</v>
      </c>
      <c r="H17" s="396" t="s">
        <v>231</v>
      </c>
      <c r="I17" s="396" t="s">
        <v>231</v>
      </c>
      <c r="J17" s="397">
        <v>0.0</v>
      </c>
      <c r="K17" s="398"/>
    </row>
    <row r="18" ht="89.25" customHeight="1">
      <c r="A18" s="278" t="s">
        <v>135</v>
      </c>
      <c r="B18" s="260" t="s">
        <v>38</v>
      </c>
      <c r="C18" s="279" t="s">
        <v>11</v>
      </c>
      <c r="D18" s="262" t="s">
        <v>126</v>
      </c>
      <c r="E18" s="262" t="s">
        <v>13</v>
      </c>
      <c r="F18" s="367">
        <f t="shared" ref="F18:G18" si="7">F19+F20+F21</f>
        <v>4357</v>
      </c>
      <c r="G18" s="378">
        <f t="shared" si="7"/>
        <v>4165.2</v>
      </c>
      <c r="H18" s="289">
        <f t="shared" ref="H18:H21" si="8">SUM(J18-G18)</f>
        <v>450.8</v>
      </c>
      <c r="I18" s="287">
        <f t="shared" ref="I18:I22" si="9">H18/G18</f>
        <v>0.108230097</v>
      </c>
      <c r="J18" s="399">
        <f>4492+J21</f>
        <v>4616</v>
      </c>
      <c r="K18" s="268" t="s">
        <v>213</v>
      </c>
    </row>
    <row r="19" ht="89.25" customHeight="1">
      <c r="A19" s="269"/>
      <c r="B19" s="260" t="s">
        <v>40</v>
      </c>
      <c r="C19" s="261" t="s">
        <v>127</v>
      </c>
      <c r="D19" s="262" t="s">
        <v>128</v>
      </c>
      <c r="E19" s="262" t="s">
        <v>13</v>
      </c>
      <c r="F19" s="367">
        <v>2608.0</v>
      </c>
      <c r="G19" s="378">
        <f>(2095/10)*12</f>
        <v>2514</v>
      </c>
      <c r="H19" s="289">
        <f t="shared" si="8"/>
        <v>198</v>
      </c>
      <c r="I19" s="287">
        <f t="shared" si="9"/>
        <v>0.07875894988</v>
      </c>
      <c r="J19" s="399">
        <f>J18-J20-J21</f>
        <v>2712</v>
      </c>
      <c r="K19" s="270"/>
    </row>
    <row r="20" ht="89.25" customHeight="1">
      <c r="A20" s="269"/>
      <c r="B20" s="260" t="s">
        <v>43</v>
      </c>
      <c r="C20" s="261" t="s">
        <v>129</v>
      </c>
      <c r="D20" s="262" t="s">
        <v>130</v>
      </c>
      <c r="E20" s="262" t="s">
        <v>13</v>
      </c>
      <c r="F20" s="272">
        <v>1580.0</v>
      </c>
      <c r="G20" s="375">
        <f>(1332/10)*12</f>
        <v>1598.4</v>
      </c>
      <c r="H20" s="265">
        <f t="shared" si="8"/>
        <v>181.6</v>
      </c>
      <c r="I20" s="287">
        <f t="shared" si="9"/>
        <v>0.1136136136</v>
      </c>
      <c r="J20" s="392">
        <v>1780.0</v>
      </c>
      <c r="K20" s="270"/>
    </row>
    <row r="21" ht="47.25" customHeight="1">
      <c r="A21" s="269"/>
      <c r="B21" s="260" t="s">
        <v>170</v>
      </c>
      <c r="C21" s="271" t="s">
        <v>165</v>
      </c>
      <c r="D21" s="262" t="s">
        <v>166</v>
      </c>
      <c r="E21" s="262" t="s">
        <v>13</v>
      </c>
      <c r="F21" s="272">
        <v>169.0</v>
      </c>
      <c r="G21" s="375">
        <f>(44/10)*12</f>
        <v>52.8</v>
      </c>
      <c r="H21" s="265">
        <f t="shared" si="8"/>
        <v>71.2</v>
      </c>
      <c r="I21" s="287">
        <f t="shared" si="9"/>
        <v>1.348484848</v>
      </c>
      <c r="J21" s="392">
        <v>124.0</v>
      </c>
      <c r="K21" s="274"/>
    </row>
    <row r="22" ht="173.25" customHeight="1">
      <c r="A22" s="269"/>
      <c r="B22" s="260" t="s">
        <v>45</v>
      </c>
      <c r="C22" s="379" t="s">
        <v>23</v>
      </c>
      <c r="D22" s="102" t="s">
        <v>24</v>
      </c>
      <c r="E22" s="102" t="s">
        <v>13</v>
      </c>
      <c r="F22" s="292">
        <v>2.63</v>
      </c>
      <c r="G22" s="377">
        <v>2.58</v>
      </c>
      <c r="H22" s="294">
        <f>J22-G22</f>
        <v>0.12</v>
      </c>
      <c r="I22" s="295">
        <f t="shared" si="9"/>
        <v>0.04651162791</v>
      </c>
      <c r="J22" s="393">
        <v>2.7</v>
      </c>
      <c r="K22" s="366" t="s">
        <v>136</v>
      </c>
    </row>
    <row r="23" ht="173.25" customHeight="1">
      <c r="A23" s="275"/>
      <c r="B23" s="260" t="s">
        <v>232</v>
      </c>
      <c r="C23" s="305" t="s">
        <v>229</v>
      </c>
      <c r="D23" s="262" t="s">
        <v>230</v>
      </c>
      <c r="E23" s="262" t="s">
        <v>13</v>
      </c>
      <c r="F23" s="394" t="s">
        <v>231</v>
      </c>
      <c r="G23" s="395" t="s">
        <v>231</v>
      </c>
      <c r="H23" s="396" t="s">
        <v>231</v>
      </c>
      <c r="I23" s="396" t="s">
        <v>231</v>
      </c>
      <c r="J23" s="397">
        <v>0.0</v>
      </c>
      <c r="K23" s="398"/>
    </row>
    <row r="24" ht="89.25" customHeight="1">
      <c r="A24" s="278" t="s">
        <v>137</v>
      </c>
      <c r="B24" s="260" t="s">
        <v>48</v>
      </c>
      <c r="C24" s="261" t="s">
        <v>11</v>
      </c>
      <c r="D24" s="262" t="s">
        <v>126</v>
      </c>
      <c r="E24" s="262" t="s">
        <v>13</v>
      </c>
      <c r="F24" s="272">
        <f t="shared" ref="F24:G24" si="10">F25+F26+F27</f>
        <v>1706</v>
      </c>
      <c r="G24" s="375">
        <f t="shared" si="10"/>
        <v>1615.2</v>
      </c>
      <c r="H24" s="289">
        <f t="shared" ref="H24:H27" si="11">SUM(J24-G24)</f>
        <v>-92.2</v>
      </c>
      <c r="I24" s="287">
        <f t="shared" ref="I24:I28" si="12">H24/G24</f>
        <v>-0.05708271421</v>
      </c>
      <c r="J24" s="392">
        <f>943+J27</f>
        <v>1523</v>
      </c>
      <c r="K24" s="268" t="s">
        <v>213</v>
      </c>
    </row>
    <row r="25" ht="89.25" customHeight="1">
      <c r="A25" s="269"/>
      <c r="B25" s="260" t="s">
        <v>50</v>
      </c>
      <c r="C25" s="261" t="s">
        <v>127</v>
      </c>
      <c r="D25" s="262" t="s">
        <v>128</v>
      </c>
      <c r="E25" s="262" t="s">
        <v>13</v>
      </c>
      <c r="F25" s="272">
        <v>438.0</v>
      </c>
      <c r="G25" s="375">
        <f>(354/10)*12</f>
        <v>424.8</v>
      </c>
      <c r="H25" s="289">
        <f t="shared" si="11"/>
        <v>-105.8</v>
      </c>
      <c r="I25" s="287">
        <f t="shared" si="12"/>
        <v>-0.2490583804</v>
      </c>
      <c r="J25" s="392">
        <f>J24-J26-J27</f>
        <v>319</v>
      </c>
      <c r="K25" s="270"/>
    </row>
    <row r="26" ht="89.25" customHeight="1">
      <c r="A26" s="269"/>
      <c r="B26" s="260" t="s">
        <v>51</v>
      </c>
      <c r="C26" s="261" t="s">
        <v>129</v>
      </c>
      <c r="D26" s="262" t="s">
        <v>130</v>
      </c>
      <c r="E26" s="262" t="s">
        <v>13</v>
      </c>
      <c r="F26" s="272">
        <v>629.0</v>
      </c>
      <c r="G26" s="375">
        <f>(596/10)*12</f>
        <v>715.2</v>
      </c>
      <c r="H26" s="289">
        <f t="shared" si="11"/>
        <v>-91.2</v>
      </c>
      <c r="I26" s="287">
        <f t="shared" si="12"/>
        <v>-0.1275167785</v>
      </c>
      <c r="J26" s="392">
        <v>624.0</v>
      </c>
      <c r="K26" s="270"/>
    </row>
    <row r="27" ht="47.25" customHeight="1">
      <c r="A27" s="269"/>
      <c r="B27" s="260" t="s">
        <v>171</v>
      </c>
      <c r="C27" s="271" t="s">
        <v>165</v>
      </c>
      <c r="D27" s="262" t="s">
        <v>166</v>
      </c>
      <c r="E27" s="262" t="s">
        <v>13</v>
      </c>
      <c r="F27" s="272">
        <v>639.0</v>
      </c>
      <c r="G27" s="375">
        <f>(396/10)*12</f>
        <v>475.2</v>
      </c>
      <c r="H27" s="289">
        <f t="shared" si="11"/>
        <v>104.8</v>
      </c>
      <c r="I27" s="287">
        <f t="shared" si="12"/>
        <v>0.2205387205</v>
      </c>
      <c r="J27" s="392">
        <v>580.0</v>
      </c>
      <c r="K27" s="274"/>
    </row>
    <row r="28" ht="173.25" customHeight="1">
      <c r="A28" s="269"/>
      <c r="B28" s="260" t="s">
        <v>172</v>
      </c>
      <c r="C28" s="380" t="s">
        <v>23</v>
      </c>
      <c r="D28" s="121" t="s">
        <v>24</v>
      </c>
      <c r="E28" s="121" t="s">
        <v>13</v>
      </c>
      <c r="F28" s="368">
        <v>2.68</v>
      </c>
      <c r="G28" s="381">
        <v>2.74</v>
      </c>
      <c r="H28" s="300">
        <f>J28-G28</f>
        <v>-0.02</v>
      </c>
      <c r="I28" s="301">
        <f t="shared" si="12"/>
        <v>-0.007299270073</v>
      </c>
      <c r="J28" s="400">
        <v>2.72</v>
      </c>
      <c r="K28" s="369" t="s">
        <v>136</v>
      </c>
    </row>
    <row r="29" ht="173.25" customHeight="1">
      <c r="A29" s="275"/>
      <c r="B29" s="260" t="s">
        <v>53</v>
      </c>
      <c r="C29" s="305" t="s">
        <v>229</v>
      </c>
      <c r="D29" s="262" t="s">
        <v>230</v>
      </c>
      <c r="E29" s="262" t="s">
        <v>13</v>
      </c>
      <c r="F29" s="394" t="s">
        <v>231</v>
      </c>
      <c r="G29" s="395" t="s">
        <v>231</v>
      </c>
      <c r="H29" s="396" t="s">
        <v>231</v>
      </c>
      <c r="I29" s="396" t="s">
        <v>231</v>
      </c>
      <c r="J29" s="397">
        <v>0.0</v>
      </c>
      <c r="K29" s="401"/>
    </row>
    <row r="30" ht="89.25" customHeight="1">
      <c r="A30" s="304" t="s">
        <v>138</v>
      </c>
      <c r="B30" s="260" t="s">
        <v>56</v>
      </c>
      <c r="C30" s="305" t="s">
        <v>11</v>
      </c>
      <c r="D30" s="262" t="s">
        <v>126</v>
      </c>
      <c r="E30" s="262" t="s">
        <v>13</v>
      </c>
      <c r="F30" s="272">
        <f t="shared" ref="F30:G30" si="13">F31+F32+F33</f>
        <v>3687</v>
      </c>
      <c r="G30" s="375">
        <f t="shared" si="13"/>
        <v>3240</v>
      </c>
      <c r="H30" s="289">
        <f t="shared" ref="H30:H33" si="14">SUM(J30-G30)</f>
        <v>698</v>
      </c>
      <c r="I30" s="287">
        <f t="shared" ref="I30:I33" si="15">H30/G30</f>
        <v>0.2154320988</v>
      </c>
      <c r="J30" s="392">
        <f>3538+J33</f>
        <v>3938</v>
      </c>
      <c r="K30" s="268" t="s">
        <v>214</v>
      </c>
    </row>
    <row r="31" ht="89.25" customHeight="1">
      <c r="A31" s="269"/>
      <c r="B31" s="260" t="s">
        <v>57</v>
      </c>
      <c r="C31" s="305" t="s">
        <v>127</v>
      </c>
      <c r="D31" s="262" t="s">
        <v>128</v>
      </c>
      <c r="E31" s="262" t="s">
        <v>13</v>
      </c>
      <c r="F31" s="272">
        <v>1663.0</v>
      </c>
      <c r="G31" s="375">
        <f>(1247/10)*12</f>
        <v>1496.4</v>
      </c>
      <c r="H31" s="289">
        <f t="shared" si="14"/>
        <v>258.6</v>
      </c>
      <c r="I31" s="287">
        <f t="shared" si="15"/>
        <v>0.1728147554</v>
      </c>
      <c r="J31" s="392">
        <f>J30-J32-J33</f>
        <v>1755</v>
      </c>
      <c r="K31" s="270"/>
    </row>
    <row r="32" ht="89.25" customHeight="1">
      <c r="A32" s="269"/>
      <c r="B32" s="260" t="s">
        <v>59</v>
      </c>
      <c r="C32" s="305" t="s">
        <v>129</v>
      </c>
      <c r="D32" s="262" t="s">
        <v>130</v>
      </c>
      <c r="E32" s="262" t="s">
        <v>13</v>
      </c>
      <c r="F32" s="272">
        <v>1989.0</v>
      </c>
      <c r="G32" s="375">
        <f>(1438/10)*12</f>
        <v>1725.6</v>
      </c>
      <c r="H32" s="289">
        <f t="shared" si="14"/>
        <v>57.4</v>
      </c>
      <c r="I32" s="287">
        <f t="shared" si="15"/>
        <v>0.0332637923</v>
      </c>
      <c r="J32" s="392">
        <v>1783.0</v>
      </c>
      <c r="K32" s="270"/>
    </row>
    <row r="33" ht="47.25" customHeight="1">
      <c r="A33" s="269"/>
      <c r="B33" s="260" t="s">
        <v>173</v>
      </c>
      <c r="C33" s="305" t="s">
        <v>165</v>
      </c>
      <c r="D33" s="262" t="s">
        <v>166</v>
      </c>
      <c r="E33" s="262" t="s">
        <v>13</v>
      </c>
      <c r="F33" s="272">
        <v>35.0</v>
      </c>
      <c r="G33" s="375">
        <f>(15/10)*12</f>
        <v>18</v>
      </c>
      <c r="H33" s="289">
        <f t="shared" si="14"/>
        <v>382</v>
      </c>
      <c r="I33" s="287">
        <f t="shared" si="15"/>
        <v>21.22222222</v>
      </c>
      <c r="J33" s="392">
        <v>400.0</v>
      </c>
      <c r="K33" s="274"/>
    </row>
    <row r="34" ht="47.25" customHeight="1">
      <c r="A34" s="275"/>
      <c r="B34" s="260" t="s">
        <v>173</v>
      </c>
      <c r="C34" s="376" t="s">
        <v>229</v>
      </c>
      <c r="D34" s="53" t="s">
        <v>230</v>
      </c>
      <c r="E34" s="53" t="s">
        <v>13</v>
      </c>
      <c r="F34" s="394" t="s">
        <v>231</v>
      </c>
      <c r="G34" s="395" t="s">
        <v>231</v>
      </c>
      <c r="H34" s="396" t="s">
        <v>231</v>
      </c>
      <c r="I34" s="396" t="s">
        <v>231</v>
      </c>
      <c r="J34" s="397">
        <v>0.0</v>
      </c>
      <c r="K34" s="398"/>
    </row>
    <row r="35" ht="89.25" customHeight="1">
      <c r="A35" s="278" t="s">
        <v>139</v>
      </c>
      <c r="B35" s="260" t="s">
        <v>62</v>
      </c>
      <c r="C35" s="305" t="s">
        <v>11</v>
      </c>
      <c r="D35" s="262" t="s">
        <v>126</v>
      </c>
      <c r="E35" s="262" t="s">
        <v>13</v>
      </c>
      <c r="F35" s="272">
        <f t="shared" ref="F35:G35" si="16">F36+F37+F38</f>
        <v>12321</v>
      </c>
      <c r="G35" s="375">
        <f t="shared" si="16"/>
        <v>9372</v>
      </c>
      <c r="H35" s="289">
        <f t="shared" ref="H35:H38" si="17">SUM(J35-G35)</f>
        <v>1288</v>
      </c>
      <c r="I35" s="287">
        <f t="shared" ref="I35:I38" si="18">H35/G35</f>
        <v>0.1374306445</v>
      </c>
      <c r="J35" s="392">
        <f>9557+J38</f>
        <v>10660</v>
      </c>
      <c r="K35" s="268" t="s">
        <v>215</v>
      </c>
    </row>
    <row r="36" ht="89.25" customHeight="1">
      <c r="A36" s="269"/>
      <c r="B36" s="260" t="s">
        <v>63</v>
      </c>
      <c r="C36" s="305" t="s">
        <v>127</v>
      </c>
      <c r="D36" s="262" t="s">
        <v>128</v>
      </c>
      <c r="E36" s="262" t="s">
        <v>13</v>
      </c>
      <c r="F36" s="272">
        <v>5463.0</v>
      </c>
      <c r="G36" s="375">
        <f>(3365/10)*12</f>
        <v>4038</v>
      </c>
      <c r="H36" s="289">
        <f t="shared" si="17"/>
        <v>356</v>
      </c>
      <c r="I36" s="287">
        <f t="shared" si="18"/>
        <v>0.08816245666</v>
      </c>
      <c r="J36" s="392">
        <f>J35-J37-J38</f>
        <v>4394</v>
      </c>
      <c r="K36" s="270"/>
    </row>
    <row r="37" ht="89.25" customHeight="1">
      <c r="A37" s="269"/>
      <c r="B37" s="260" t="s">
        <v>65</v>
      </c>
      <c r="C37" s="305" t="s">
        <v>129</v>
      </c>
      <c r="D37" s="262" t="s">
        <v>130</v>
      </c>
      <c r="E37" s="262" t="s">
        <v>13</v>
      </c>
      <c r="F37" s="272">
        <v>6221.0</v>
      </c>
      <c r="G37" s="375">
        <f>(4143/10)*12</f>
        <v>4971.6</v>
      </c>
      <c r="H37" s="289">
        <f t="shared" si="17"/>
        <v>191.4</v>
      </c>
      <c r="I37" s="287">
        <f t="shared" si="18"/>
        <v>0.03849867246</v>
      </c>
      <c r="J37" s="392">
        <v>5163.0</v>
      </c>
      <c r="K37" s="270"/>
    </row>
    <row r="38" ht="47.25" customHeight="1">
      <c r="A38" s="269"/>
      <c r="B38" s="260" t="s">
        <v>174</v>
      </c>
      <c r="C38" s="305" t="s">
        <v>165</v>
      </c>
      <c r="D38" s="262" t="s">
        <v>166</v>
      </c>
      <c r="E38" s="262" t="s">
        <v>13</v>
      </c>
      <c r="F38" s="272">
        <v>637.0</v>
      </c>
      <c r="G38" s="375">
        <f>(302/10)*12</f>
        <v>362.4</v>
      </c>
      <c r="H38" s="289">
        <f t="shared" si="17"/>
        <v>740.6</v>
      </c>
      <c r="I38" s="287">
        <f t="shared" si="18"/>
        <v>2.043598234</v>
      </c>
      <c r="J38" s="392">
        <v>1103.0</v>
      </c>
      <c r="K38" s="274"/>
    </row>
    <row r="39" ht="47.25" customHeight="1">
      <c r="A39" s="275"/>
      <c r="B39" s="260" t="s">
        <v>233</v>
      </c>
      <c r="C39" s="376" t="s">
        <v>229</v>
      </c>
      <c r="D39" s="53" t="s">
        <v>230</v>
      </c>
      <c r="E39" s="53" t="s">
        <v>13</v>
      </c>
      <c r="F39" s="394" t="s">
        <v>231</v>
      </c>
      <c r="G39" s="395" t="s">
        <v>231</v>
      </c>
      <c r="H39" s="396" t="s">
        <v>231</v>
      </c>
      <c r="I39" s="396" t="s">
        <v>231</v>
      </c>
      <c r="J39" s="397">
        <v>0.0</v>
      </c>
      <c r="K39" s="398"/>
    </row>
    <row r="40" ht="89.25" customHeight="1">
      <c r="A40" s="307" t="s">
        <v>216</v>
      </c>
      <c r="B40" s="190" t="s">
        <v>68</v>
      </c>
      <c r="C40" s="305" t="s">
        <v>11</v>
      </c>
      <c r="D40" s="262" t="s">
        <v>126</v>
      </c>
      <c r="E40" s="262" t="s">
        <v>13</v>
      </c>
      <c r="F40" s="272">
        <f t="shared" ref="F40:G40" si="19">F41+F42+F43</f>
        <v>3993</v>
      </c>
      <c r="G40" s="375">
        <f t="shared" si="19"/>
        <v>2848.8</v>
      </c>
      <c r="H40" s="289">
        <f t="shared" ref="H40:H43" si="20">SUM(J40-G40)</f>
        <v>1988.2</v>
      </c>
      <c r="I40" s="287">
        <f t="shared" ref="I40:I43" si="21">H40/G40</f>
        <v>0.697907891</v>
      </c>
      <c r="J40" s="392">
        <f>4637+J43</f>
        <v>4837</v>
      </c>
      <c r="K40" s="308"/>
    </row>
    <row r="41" ht="89.25" customHeight="1">
      <c r="A41" s="309"/>
      <c r="B41" s="190" t="s">
        <v>69</v>
      </c>
      <c r="C41" s="305" t="s">
        <v>127</v>
      </c>
      <c r="D41" s="262" t="s">
        <v>128</v>
      </c>
      <c r="E41" s="262" t="s">
        <v>13</v>
      </c>
      <c r="F41" s="272">
        <v>1806.0</v>
      </c>
      <c r="G41" s="375">
        <f>(1001/10)*12</f>
        <v>1201.2</v>
      </c>
      <c r="H41" s="289">
        <f t="shared" si="20"/>
        <v>952.8</v>
      </c>
      <c r="I41" s="287">
        <f t="shared" si="21"/>
        <v>0.7932067932</v>
      </c>
      <c r="J41" s="392">
        <f>J40-J42-J43</f>
        <v>2154</v>
      </c>
      <c r="K41" s="268" t="s">
        <v>217</v>
      </c>
    </row>
    <row r="42" ht="89.25" customHeight="1">
      <c r="A42" s="309"/>
      <c r="B42" s="209" t="s">
        <v>71</v>
      </c>
      <c r="C42" s="305" t="s">
        <v>129</v>
      </c>
      <c r="D42" s="262" t="s">
        <v>130</v>
      </c>
      <c r="E42" s="262" t="s">
        <v>13</v>
      </c>
      <c r="F42" s="272">
        <v>1972.0</v>
      </c>
      <c r="G42" s="375">
        <f>(1157/10)*12</f>
        <v>1388.4</v>
      </c>
      <c r="H42" s="289">
        <f t="shared" si="20"/>
        <v>1094.6</v>
      </c>
      <c r="I42" s="287">
        <f t="shared" si="21"/>
        <v>0.7883895131</v>
      </c>
      <c r="J42" s="392">
        <v>2483.0</v>
      </c>
      <c r="K42" s="270"/>
    </row>
    <row r="43" ht="47.25" customHeight="1">
      <c r="A43" s="309"/>
      <c r="B43" s="313" t="s">
        <v>175</v>
      </c>
      <c r="C43" s="305" t="s">
        <v>165</v>
      </c>
      <c r="D43" s="262" t="s">
        <v>166</v>
      </c>
      <c r="E43" s="262" t="s">
        <v>13</v>
      </c>
      <c r="F43" s="272">
        <v>215.0</v>
      </c>
      <c r="G43" s="375">
        <f>(216/10)*12</f>
        <v>259.2</v>
      </c>
      <c r="H43" s="289">
        <f t="shared" si="20"/>
        <v>-59.2</v>
      </c>
      <c r="I43" s="287">
        <f t="shared" si="21"/>
        <v>-0.2283950617</v>
      </c>
      <c r="J43" s="392">
        <v>200.0</v>
      </c>
      <c r="K43" s="274"/>
    </row>
    <row r="44" ht="47.25" customHeight="1">
      <c r="A44" s="312"/>
      <c r="B44" s="260" t="s">
        <v>234</v>
      </c>
      <c r="C44" s="376" t="s">
        <v>229</v>
      </c>
      <c r="D44" s="53" t="s">
        <v>230</v>
      </c>
      <c r="E44" s="53" t="s">
        <v>13</v>
      </c>
      <c r="F44" s="394" t="s">
        <v>231</v>
      </c>
      <c r="G44" s="395" t="s">
        <v>231</v>
      </c>
      <c r="H44" s="396" t="s">
        <v>231</v>
      </c>
      <c r="I44" s="396" t="s">
        <v>231</v>
      </c>
      <c r="J44" s="397">
        <v>1.0</v>
      </c>
      <c r="K44" s="398"/>
    </row>
    <row r="45" ht="78.75" customHeight="1">
      <c r="A45" s="315" t="s">
        <v>143</v>
      </c>
      <c r="B45" s="260" t="s">
        <v>73</v>
      </c>
      <c r="C45" s="305" t="s">
        <v>11</v>
      </c>
      <c r="D45" s="262" t="s">
        <v>74</v>
      </c>
      <c r="E45" s="262" t="s">
        <v>13</v>
      </c>
      <c r="F45" s="272">
        <v>12141.0</v>
      </c>
      <c r="G45" s="375">
        <f>(8642/10)*12</f>
        <v>10370.4</v>
      </c>
      <c r="H45" s="289">
        <f t="shared" ref="H45:H48" si="23">SUM(J45-G45)</f>
        <v>987.6</v>
      </c>
      <c r="I45" s="287">
        <f t="shared" ref="I45:I48" si="24">H45/G45</f>
        <v>0.09523258505</v>
      </c>
      <c r="J45" s="392">
        <v>11358.0</v>
      </c>
      <c r="K45" s="370" t="s">
        <v>218</v>
      </c>
    </row>
    <row r="46" ht="47.25" customHeight="1">
      <c r="A46" s="316"/>
      <c r="B46" s="260" t="s">
        <v>75</v>
      </c>
      <c r="C46" s="305" t="s">
        <v>176</v>
      </c>
      <c r="D46" s="262" t="s">
        <v>74</v>
      </c>
      <c r="E46" s="262" t="s">
        <v>13</v>
      </c>
      <c r="F46" s="272">
        <f t="shared" ref="F46:G46" si="22">F45-F47</f>
        <v>9531</v>
      </c>
      <c r="G46" s="375">
        <f t="shared" si="22"/>
        <v>8150.4</v>
      </c>
      <c r="H46" s="289">
        <f t="shared" si="23"/>
        <v>895.6</v>
      </c>
      <c r="I46" s="287">
        <f t="shared" si="24"/>
        <v>0.1098841775</v>
      </c>
      <c r="J46" s="392">
        <f>J45-J47</f>
        <v>9046</v>
      </c>
      <c r="K46" s="311"/>
    </row>
    <row r="47" ht="38.25" customHeight="1">
      <c r="A47" s="316"/>
      <c r="B47" s="260" t="s">
        <v>147</v>
      </c>
      <c r="C47" s="305" t="s">
        <v>177</v>
      </c>
      <c r="D47" s="262" t="s">
        <v>74</v>
      </c>
      <c r="E47" s="262" t="s">
        <v>13</v>
      </c>
      <c r="F47" s="272">
        <v>2610.0</v>
      </c>
      <c r="G47" s="375">
        <f>(1850/10)*12</f>
        <v>2220</v>
      </c>
      <c r="H47" s="289">
        <f t="shared" si="23"/>
        <v>92</v>
      </c>
      <c r="I47" s="287">
        <f t="shared" si="24"/>
        <v>0.04144144144</v>
      </c>
      <c r="J47" s="392">
        <v>2312.0</v>
      </c>
      <c r="K47" s="311"/>
    </row>
    <row r="48" ht="63.0" customHeight="1">
      <c r="A48" s="316"/>
      <c r="B48" s="260" t="s">
        <v>178</v>
      </c>
      <c r="C48" s="305" t="s">
        <v>145</v>
      </c>
      <c r="D48" s="262" t="s">
        <v>77</v>
      </c>
      <c r="E48" s="262" t="s">
        <v>13</v>
      </c>
      <c r="F48" s="272">
        <v>1634.0</v>
      </c>
      <c r="G48" s="375">
        <f>(1200/10)*12</f>
        <v>1440</v>
      </c>
      <c r="H48" s="289">
        <f t="shared" si="23"/>
        <v>261</v>
      </c>
      <c r="I48" s="287">
        <f t="shared" si="24"/>
        <v>0.18125</v>
      </c>
      <c r="J48" s="392">
        <v>1701.0</v>
      </c>
      <c r="K48" s="311"/>
    </row>
    <row r="49" ht="94.5" customHeight="1">
      <c r="A49" s="316"/>
      <c r="B49" s="260" t="s">
        <v>179</v>
      </c>
      <c r="C49" s="305" t="s">
        <v>148</v>
      </c>
      <c r="D49" s="262" t="s">
        <v>149</v>
      </c>
      <c r="E49" s="262" t="s">
        <v>13</v>
      </c>
      <c r="F49" s="319">
        <v>0.0884</v>
      </c>
      <c r="G49" s="382">
        <v>0.0884</v>
      </c>
      <c r="H49" s="287">
        <f>J49-G49</f>
        <v>-0.009965714198</v>
      </c>
      <c r="I49" s="287">
        <f>J49-G49</f>
        <v>-0.009965714198</v>
      </c>
      <c r="J49" s="402">
        <f>51207/652865</f>
        <v>0.0784342858</v>
      </c>
      <c r="K49" s="371"/>
    </row>
    <row r="50" ht="94.5" customHeight="1">
      <c r="A50" s="318"/>
      <c r="B50" s="260" t="s">
        <v>235</v>
      </c>
      <c r="C50" s="376" t="s">
        <v>229</v>
      </c>
      <c r="D50" s="53" t="s">
        <v>230</v>
      </c>
      <c r="E50" s="53" t="s">
        <v>13</v>
      </c>
      <c r="F50" s="394" t="s">
        <v>231</v>
      </c>
      <c r="G50" s="395" t="s">
        <v>231</v>
      </c>
      <c r="H50" s="396" t="s">
        <v>231</v>
      </c>
      <c r="I50" s="396" t="s">
        <v>231</v>
      </c>
      <c r="J50" s="397">
        <v>0.0</v>
      </c>
      <c r="K50" s="398"/>
    </row>
    <row r="51" ht="78.75" customHeight="1">
      <c r="A51" s="315" t="s">
        <v>152</v>
      </c>
      <c r="B51" s="260" t="s">
        <v>180</v>
      </c>
      <c r="C51" s="305" t="s">
        <v>11</v>
      </c>
      <c r="D51" s="262" t="s">
        <v>74</v>
      </c>
      <c r="E51" s="262" t="s">
        <v>13</v>
      </c>
      <c r="F51" s="272">
        <v>27810.0</v>
      </c>
      <c r="G51" s="375">
        <f>(25100/10)*12</f>
        <v>30120</v>
      </c>
      <c r="H51" s="289">
        <f t="shared" ref="H51:H54" si="26">J51-G51</f>
        <v>-1522</v>
      </c>
      <c r="I51" s="287">
        <f t="shared" ref="I51:I54" si="27">H51/G51</f>
        <v>-0.0505312085</v>
      </c>
      <c r="J51" s="392">
        <v>28598.0</v>
      </c>
      <c r="K51" s="370" t="s">
        <v>204</v>
      </c>
    </row>
    <row r="52" ht="47.25" customHeight="1">
      <c r="A52" s="316"/>
      <c r="B52" s="260" t="s">
        <v>181</v>
      </c>
      <c r="C52" s="305" t="s">
        <v>176</v>
      </c>
      <c r="D52" s="262" t="s">
        <v>74</v>
      </c>
      <c r="E52" s="262" t="s">
        <v>13</v>
      </c>
      <c r="F52" s="272">
        <f t="shared" ref="F52:G52" si="25">F51-F53</f>
        <v>14876</v>
      </c>
      <c r="G52" s="375">
        <f t="shared" si="25"/>
        <v>15921.6</v>
      </c>
      <c r="H52" s="289">
        <f t="shared" si="26"/>
        <v>418.4</v>
      </c>
      <c r="I52" s="287">
        <f t="shared" si="27"/>
        <v>0.02627876595</v>
      </c>
      <c r="J52" s="392">
        <f>J51-J53</f>
        <v>16340</v>
      </c>
      <c r="K52" s="311"/>
    </row>
    <row r="53" ht="38.25" customHeight="1">
      <c r="A53" s="316"/>
      <c r="B53" s="260" t="s">
        <v>182</v>
      </c>
      <c r="C53" s="305" t="s">
        <v>177</v>
      </c>
      <c r="D53" s="262" t="s">
        <v>74</v>
      </c>
      <c r="E53" s="262" t="s">
        <v>13</v>
      </c>
      <c r="F53" s="272">
        <v>12934.0</v>
      </c>
      <c r="G53" s="375">
        <f>(11832/10)*12</f>
        <v>14198.4</v>
      </c>
      <c r="H53" s="289">
        <f t="shared" si="26"/>
        <v>-1940.4</v>
      </c>
      <c r="I53" s="287">
        <f t="shared" si="27"/>
        <v>-0.136663286</v>
      </c>
      <c r="J53" s="392">
        <v>12258.0</v>
      </c>
      <c r="K53" s="311"/>
    </row>
    <row r="54" ht="63.0" customHeight="1">
      <c r="A54" s="316"/>
      <c r="B54" s="260" t="s">
        <v>183</v>
      </c>
      <c r="C54" s="305" t="s">
        <v>145</v>
      </c>
      <c r="D54" s="262" t="s">
        <v>77</v>
      </c>
      <c r="E54" s="262" t="s">
        <v>13</v>
      </c>
      <c r="F54" s="272">
        <v>1827.0</v>
      </c>
      <c r="G54" s="375">
        <f>(1567/10)*12</f>
        <v>1880.4</v>
      </c>
      <c r="H54" s="289">
        <f t="shared" si="26"/>
        <v>-59.4</v>
      </c>
      <c r="I54" s="287">
        <f t="shared" si="27"/>
        <v>-0.03158902361</v>
      </c>
      <c r="J54" s="392">
        <v>1821.0</v>
      </c>
      <c r="K54" s="311"/>
    </row>
    <row r="55" ht="94.5" customHeight="1">
      <c r="A55" s="316"/>
      <c r="B55" s="260" t="s">
        <v>184</v>
      </c>
      <c r="C55" s="305" t="s">
        <v>148</v>
      </c>
      <c r="D55" s="262" t="s">
        <v>149</v>
      </c>
      <c r="E55" s="262" t="s">
        <v>13</v>
      </c>
      <c r="F55" s="319">
        <v>0.326</v>
      </c>
      <c r="G55" s="382">
        <v>0.302</v>
      </c>
      <c r="H55" s="321" t="s">
        <v>205</v>
      </c>
      <c r="I55" s="321" t="s">
        <v>205</v>
      </c>
      <c r="J55" s="402">
        <f>194945/606618</f>
        <v>0.3213636918</v>
      </c>
      <c r="K55" s="371"/>
    </row>
    <row r="56" ht="94.5" customHeight="1">
      <c r="A56" s="318"/>
      <c r="B56" s="260" t="s">
        <v>236</v>
      </c>
      <c r="C56" s="376" t="s">
        <v>229</v>
      </c>
      <c r="D56" s="53" t="s">
        <v>230</v>
      </c>
      <c r="E56" s="53" t="s">
        <v>13</v>
      </c>
      <c r="F56" s="394" t="s">
        <v>231</v>
      </c>
      <c r="G56" s="395" t="s">
        <v>231</v>
      </c>
      <c r="H56" s="396" t="s">
        <v>231</v>
      </c>
      <c r="I56" s="396" t="s">
        <v>231</v>
      </c>
      <c r="J56" s="397">
        <v>0.0</v>
      </c>
      <c r="K56" s="398"/>
    </row>
    <row r="57" ht="162.0" customHeight="1">
      <c r="A57" s="324" t="s">
        <v>78</v>
      </c>
      <c r="B57" s="260" t="s">
        <v>79</v>
      </c>
      <c r="C57" s="305" t="s">
        <v>80</v>
      </c>
      <c r="D57" s="262" t="s">
        <v>81</v>
      </c>
      <c r="E57" s="262" t="s">
        <v>13</v>
      </c>
      <c r="F57" s="372">
        <v>248799.12</v>
      </c>
      <c r="G57" s="383">
        <v>272911.88</v>
      </c>
      <c r="H57" s="327">
        <f t="shared" ref="H57:H59" si="28">SUM(J57-G57)</f>
        <v>-122221.76</v>
      </c>
      <c r="I57" s="287">
        <f t="shared" ref="I57:I59" si="29">H57/G57</f>
        <v>-0.4478433112</v>
      </c>
      <c r="J57" s="403">
        <v>150690.12</v>
      </c>
      <c r="K57" s="308" t="s">
        <v>219</v>
      </c>
    </row>
    <row r="58" ht="110.25" customHeight="1">
      <c r="A58" s="329"/>
      <c r="B58" s="260" t="s">
        <v>83</v>
      </c>
      <c r="C58" s="330" t="s">
        <v>84</v>
      </c>
      <c r="D58" s="262" t="s">
        <v>85</v>
      </c>
      <c r="E58" s="262" t="s">
        <v>13</v>
      </c>
      <c r="F58" s="325">
        <v>21571.92</v>
      </c>
      <c r="G58" s="384">
        <v>15369.74</v>
      </c>
      <c r="H58" s="327">
        <f t="shared" si="28"/>
        <v>-1452.14</v>
      </c>
      <c r="I58" s="287">
        <f t="shared" si="29"/>
        <v>-0.09448045315</v>
      </c>
      <c r="J58" s="404">
        <v>13917.6</v>
      </c>
      <c r="K58" s="308" t="s">
        <v>49</v>
      </c>
    </row>
    <row r="59" ht="76.5" customHeight="1">
      <c r="A59" s="332"/>
      <c r="B59" s="260" t="s">
        <v>86</v>
      </c>
      <c r="C59" s="330" t="s">
        <v>220</v>
      </c>
      <c r="D59" s="262" t="s">
        <v>221</v>
      </c>
      <c r="E59" s="262" t="s">
        <v>13</v>
      </c>
      <c r="F59" s="372">
        <v>0.0</v>
      </c>
      <c r="G59" s="383">
        <v>22612.0</v>
      </c>
      <c r="H59" s="327">
        <f t="shared" si="28"/>
        <v>133412.72</v>
      </c>
      <c r="I59" s="287">
        <f t="shared" si="29"/>
        <v>5.900084911</v>
      </c>
      <c r="J59" s="403">
        <v>156024.72</v>
      </c>
      <c r="K59" s="308" t="s">
        <v>222</v>
      </c>
    </row>
    <row r="60" ht="102.0" customHeight="1">
      <c r="A60" s="333" t="s">
        <v>89</v>
      </c>
      <c r="B60" s="245" t="s">
        <v>90</v>
      </c>
      <c r="C60" s="185" t="s">
        <v>91</v>
      </c>
      <c r="D60" s="45" t="s">
        <v>92</v>
      </c>
      <c r="E60" s="102" t="s">
        <v>13</v>
      </c>
      <c r="F60" s="334" t="s">
        <v>155</v>
      </c>
      <c r="G60" s="385" t="s">
        <v>155</v>
      </c>
      <c r="H60" s="336" t="s">
        <v>94</v>
      </c>
      <c r="I60" s="336"/>
      <c r="J60" s="405" t="s">
        <v>237</v>
      </c>
      <c r="K60" s="126" t="s">
        <v>95</v>
      </c>
    </row>
    <row r="61" ht="126.0" customHeight="1">
      <c r="A61" s="339"/>
      <c r="B61" s="231" t="s">
        <v>96</v>
      </c>
      <c r="C61" s="232" t="s">
        <v>97</v>
      </c>
      <c r="D61" s="102" t="s">
        <v>98</v>
      </c>
      <c r="E61" s="102"/>
      <c r="F61" s="340"/>
      <c r="G61" s="340"/>
      <c r="H61" s="340"/>
      <c r="I61" s="340"/>
      <c r="J61" s="340"/>
      <c r="K61" s="131" t="s">
        <v>238</v>
      </c>
    </row>
    <row r="62" ht="110.25" customHeight="1">
      <c r="A62" s="341"/>
      <c r="B62" s="233" t="s">
        <v>100</v>
      </c>
      <c r="C62" s="200" t="s">
        <v>101</v>
      </c>
      <c r="D62" s="80" t="s">
        <v>102</v>
      </c>
      <c r="E62" s="53"/>
      <c r="F62" s="342"/>
      <c r="G62" s="342"/>
      <c r="H62" s="342"/>
      <c r="I62" s="342"/>
      <c r="J62" s="342"/>
      <c r="K62" s="138" t="s">
        <v>104</v>
      </c>
    </row>
    <row r="63" ht="78.75" customHeight="1">
      <c r="A63" s="344" t="s">
        <v>105</v>
      </c>
      <c r="B63" s="227" t="s">
        <v>106</v>
      </c>
      <c r="C63" s="214" t="s">
        <v>107</v>
      </c>
      <c r="D63" s="36" t="s">
        <v>157</v>
      </c>
      <c r="E63" s="121" t="s">
        <v>13</v>
      </c>
      <c r="F63" s="237">
        <f>1834857.84/7368658.08</f>
        <v>0.249008411</v>
      </c>
      <c r="G63" s="386">
        <f>2190280/7667138.67</f>
        <v>0.2856711081</v>
      </c>
      <c r="H63" s="142">
        <f>-(-J63+G63)/G63</f>
        <v>-0.0965134637</v>
      </c>
      <c r="I63" s="69">
        <f t="shared" ref="I63:I65" si="30">J63-G63</f>
        <v>-0.02757110812</v>
      </c>
      <c r="J63" s="406">
        <v>0.2581</v>
      </c>
      <c r="K63" s="144" t="s">
        <v>218</v>
      </c>
    </row>
    <row r="64" ht="94.5" customHeight="1">
      <c r="A64" s="339"/>
      <c r="B64" s="240" t="s">
        <v>110</v>
      </c>
      <c r="C64" s="241" t="s">
        <v>111</v>
      </c>
      <c r="D64" s="44" t="s">
        <v>112</v>
      </c>
      <c r="E64" s="102"/>
      <c r="F64" s="242">
        <f>2031863/7368658.08</f>
        <v>0.2757439656</v>
      </c>
      <c r="G64" s="387">
        <f>2089797.33/7667138.67</f>
        <v>0.2725654798</v>
      </c>
      <c r="H64" s="142">
        <f>-(-G64+F64)/F64</f>
        <v>-0.01152694607</v>
      </c>
      <c r="I64" s="69">
        <f t="shared" si="30"/>
        <v>0.04253452024</v>
      </c>
      <c r="J64" s="407">
        <v>0.3151</v>
      </c>
      <c r="K64" s="144" t="s">
        <v>186</v>
      </c>
    </row>
    <row r="65" ht="306.0" customHeight="1">
      <c r="A65" s="339"/>
      <c r="B65" s="245" t="s">
        <v>113</v>
      </c>
      <c r="C65" s="185" t="s">
        <v>114</v>
      </c>
      <c r="D65" s="45" t="s">
        <v>239</v>
      </c>
      <c r="E65" s="102"/>
      <c r="F65" s="246">
        <v>0.8772</v>
      </c>
      <c r="G65" s="388">
        <v>0.7077</v>
      </c>
      <c r="H65" s="248">
        <f>-(-J65+G65)/G65</f>
        <v>0.1382035039</v>
      </c>
      <c r="I65" s="69">
        <f t="shared" si="30"/>
        <v>0.09780661969</v>
      </c>
      <c r="J65" s="408">
        <f>60355/74928</f>
        <v>0.8055066197</v>
      </c>
      <c r="K65" s="144"/>
    </row>
    <row r="66" ht="64.5" customHeight="1">
      <c r="A66" s="22"/>
      <c r="B66" s="250" t="s">
        <v>116</v>
      </c>
      <c r="C66" s="251" t="s">
        <v>117</v>
      </c>
      <c r="D66" s="155" t="s">
        <v>118</v>
      </c>
      <c r="E66" s="155"/>
      <c r="F66" s="252">
        <v>824.0</v>
      </c>
      <c r="G66" s="389">
        <v>1230.0</v>
      </c>
      <c r="H66" s="158">
        <f>J66-G66</f>
        <v>34</v>
      </c>
      <c r="I66" s="254">
        <f>H66/G66</f>
        <v>0.02764227642</v>
      </c>
      <c r="J66" s="409">
        <f>12+173+3+103+83+3+93+3+48+31+61+60+71+250+44+46+43+44+47+46</f>
        <v>1264</v>
      </c>
      <c r="K66" s="256" t="s">
        <v>208</v>
      </c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G3:G4"/>
    <mergeCell ref="H3:H4"/>
    <mergeCell ref="A1:B2"/>
    <mergeCell ref="C1:G2"/>
    <mergeCell ref="H1:K2"/>
    <mergeCell ref="A3:A4"/>
    <mergeCell ref="B3:B4"/>
    <mergeCell ref="C3:C4"/>
    <mergeCell ref="D3:D4"/>
    <mergeCell ref="K3:K4"/>
    <mergeCell ref="E3:E4"/>
    <mergeCell ref="F3:F4"/>
    <mergeCell ref="A6:A11"/>
    <mergeCell ref="A12:A17"/>
    <mergeCell ref="A18:A23"/>
    <mergeCell ref="A24:A29"/>
    <mergeCell ref="A30:A34"/>
    <mergeCell ref="K35:K38"/>
    <mergeCell ref="K41:K43"/>
    <mergeCell ref="K45:K49"/>
    <mergeCell ref="K51:K55"/>
    <mergeCell ref="I3:I4"/>
    <mergeCell ref="J3:J4"/>
    <mergeCell ref="K6:K9"/>
    <mergeCell ref="K12:K15"/>
    <mergeCell ref="K18:K21"/>
    <mergeCell ref="K24:K27"/>
    <mergeCell ref="K30:K33"/>
    <mergeCell ref="H60:H62"/>
    <mergeCell ref="I60:I62"/>
    <mergeCell ref="J60:J62"/>
    <mergeCell ref="A35:A39"/>
    <mergeCell ref="A40:A44"/>
    <mergeCell ref="A45:A50"/>
    <mergeCell ref="A51:A56"/>
    <mergeCell ref="A60:A62"/>
    <mergeCell ref="F60:F62"/>
    <mergeCell ref="G60:G62"/>
    <mergeCell ref="A63:A66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